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rd.gakunzi\Desktop\"/>
    </mc:Choice>
  </mc:AlternateContent>
  <bookViews>
    <workbookView xWindow="0" yWindow="0" windowWidth="20490" windowHeight="732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1" i="1" l="1"/>
  <c r="P111" i="1"/>
  <c r="O111" i="1"/>
  <c r="R110" i="1"/>
  <c r="R108" i="1" s="1"/>
  <c r="R107" i="1" s="1"/>
  <c r="R19" i="1" s="1"/>
  <c r="Q110" i="1"/>
  <c r="P110" i="1"/>
  <c r="O110" i="1"/>
  <c r="O108" i="1" s="1"/>
  <c r="O107" i="1" s="1"/>
  <c r="O19" i="1" s="1"/>
  <c r="N110" i="1"/>
  <c r="N108" i="1" s="1"/>
  <c r="N107" i="1" s="1"/>
  <c r="N19" i="1" s="1"/>
  <c r="M110" i="1"/>
  <c r="L110" i="1"/>
  <c r="L108" i="1" s="1"/>
  <c r="L107" i="1" s="1"/>
  <c r="K110" i="1"/>
  <c r="K108" i="1" s="1"/>
  <c r="J110" i="1"/>
  <c r="J108" i="1" s="1"/>
  <c r="J107" i="1" s="1"/>
  <c r="J19" i="1" s="1"/>
  <c r="I110" i="1"/>
  <c r="H110" i="1"/>
  <c r="H108" i="1" s="1"/>
  <c r="H107" i="1" s="1"/>
  <c r="H19" i="1" s="1"/>
  <c r="G110" i="1"/>
  <c r="G108" i="1" s="1"/>
  <c r="G107" i="1" s="1"/>
  <c r="G19" i="1" s="1"/>
  <c r="G11" i="1" s="1"/>
  <c r="F110" i="1"/>
  <c r="F108" i="1" s="1"/>
  <c r="F107" i="1" s="1"/>
  <c r="F19" i="1" s="1"/>
  <c r="E110" i="1"/>
  <c r="D110" i="1"/>
  <c r="D108" i="1" s="1"/>
  <c r="D107" i="1" s="1"/>
  <c r="D19" i="1" s="1"/>
  <c r="C110" i="1"/>
  <c r="C108" i="1" s="1"/>
  <c r="B110" i="1"/>
  <c r="B108" i="1" s="1"/>
  <c r="B107" i="1" s="1"/>
  <c r="B19" i="1" s="1"/>
  <c r="Q109" i="1"/>
  <c r="P109" i="1"/>
  <c r="P108" i="1" s="1"/>
  <c r="P107" i="1" s="1"/>
  <c r="Q108" i="1"/>
  <c r="Q107" i="1" s="1"/>
  <c r="Q19" i="1" s="1"/>
  <c r="Q11" i="1" s="1"/>
  <c r="M108" i="1"/>
  <c r="M107" i="1" s="1"/>
  <c r="M19" i="1" s="1"/>
  <c r="M11" i="1" s="1"/>
  <c r="I108" i="1"/>
  <c r="I107" i="1" s="1"/>
  <c r="I19" i="1" s="1"/>
  <c r="I11" i="1" s="1"/>
  <c r="E108" i="1"/>
  <c r="E107" i="1" s="1"/>
  <c r="E19" i="1" s="1"/>
  <c r="E11" i="1" s="1"/>
  <c r="K107" i="1"/>
  <c r="C107" i="1"/>
  <c r="C19" i="1" s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O98" i="1"/>
  <c r="K98" i="1"/>
  <c r="G98" i="1"/>
  <c r="C98" i="1"/>
  <c r="R92" i="1"/>
  <c r="R98" i="1" s="1"/>
  <c r="Q92" i="1"/>
  <c r="P92" i="1"/>
  <c r="P98" i="1" s="1"/>
  <c r="O92" i="1"/>
  <c r="N92" i="1"/>
  <c r="N98" i="1" s="1"/>
  <c r="M92" i="1"/>
  <c r="M98" i="1" s="1"/>
  <c r="L92" i="1"/>
  <c r="L98" i="1" s="1"/>
  <c r="K92" i="1"/>
  <c r="J92" i="1"/>
  <c r="J98" i="1" s="1"/>
  <c r="I92" i="1"/>
  <c r="I98" i="1" s="1"/>
  <c r="H92" i="1"/>
  <c r="H98" i="1" s="1"/>
  <c r="G92" i="1"/>
  <c r="F92" i="1"/>
  <c r="F98" i="1" s="1"/>
  <c r="E92" i="1"/>
  <c r="E98" i="1" s="1"/>
  <c r="D92" i="1"/>
  <c r="D88" i="1" s="1"/>
  <c r="D87" i="1" s="1"/>
  <c r="D8" i="1" s="1"/>
  <c r="C92" i="1"/>
  <c r="B92" i="1"/>
  <c r="B98" i="1" s="1"/>
  <c r="O89" i="1"/>
  <c r="P88" i="1"/>
  <c r="O88" i="1"/>
  <c r="M88" i="1"/>
  <c r="M89" i="1" s="1"/>
  <c r="L88" i="1"/>
  <c r="K88" i="1"/>
  <c r="G88" i="1"/>
  <c r="G87" i="1" s="1"/>
  <c r="E88" i="1"/>
  <c r="E87" i="1" s="1"/>
  <c r="E8" i="1" s="1"/>
  <c r="C88" i="1"/>
  <c r="C87" i="1" s="1"/>
  <c r="B88" i="1"/>
  <c r="M87" i="1"/>
  <c r="M12" i="1" s="1"/>
  <c r="B87" i="1"/>
  <c r="B12" i="1" s="1"/>
  <c r="R82" i="1"/>
  <c r="Q82" i="1"/>
  <c r="P82" i="1"/>
  <c r="R77" i="1"/>
  <c r="Q77" i="1"/>
  <c r="P77" i="1"/>
  <c r="R75" i="1"/>
  <c r="R73" i="1"/>
  <c r="Q73" i="1"/>
  <c r="P73" i="1"/>
  <c r="Q71" i="1"/>
  <c r="Q70" i="1"/>
  <c r="Q68" i="1"/>
  <c r="Q67" i="1"/>
  <c r="Q65" i="1"/>
  <c r="Q64" i="1"/>
  <c r="Q63" i="1"/>
  <c r="Q62" i="1"/>
  <c r="Q61" i="1"/>
  <c r="Q59" i="1"/>
  <c r="Q56" i="1"/>
  <c r="R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R53" i="1"/>
  <c r="Q53" i="1"/>
  <c r="Q50" i="1" s="1"/>
  <c r="P53" i="1"/>
  <c r="P50" i="1" s="1"/>
  <c r="R50" i="1"/>
  <c r="Q48" i="1"/>
  <c r="P48" i="1"/>
  <c r="P47" i="1"/>
  <c r="P46" i="1"/>
  <c r="R45" i="1"/>
  <c r="Q45" i="1"/>
  <c r="R37" i="1"/>
  <c r="Q37" i="1"/>
  <c r="P37" i="1"/>
  <c r="Q35" i="1"/>
  <c r="R32" i="1"/>
  <c r="Q32" i="1"/>
  <c r="P32" i="1"/>
  <c r="C29" i="1"/>
  <c r="Q28" i="1"/>
  <c r="P28" i="1"/>
  <c r="O28" i="1"/>
  <c r="N28" i="1"/>
  <c r="M28" i="1"/>
  <c r="L28" i="1"/>
  <c r="K28" i="1"/>
  <c r="J28" i="1"/>
  <c r="I28" i="1"/>
  <c r="H28" i="1"/>
  <c r="G28" i="1"/>
  <c r="F28" i="1"/>
  <c r="Q27" i="1"/>
  <c r="Q26" i="1" s="1"/>
  <c r="P27" i="1"/>
  <c r="O27" i="1"/>
  <c r="O26" i="1" s="1"/>
  <c r="O9" i="1" s="1"/>
  <c r="N27" i="1"/>
  <c r="N26" i="1" s="1"/>
  <c r="M27" i="1"/>
  <c r="M26" i="1" s="1"/>
  <c r="L27" i="1"/>
  <c r="K27" i="1"/>
  <c r="K26" i="1" s="1"/>
  <c r="K9" i="1" s="1"/>
  <c r="J27" i="1"/>
  <c r="J26" i="1" s="1"/>
  <c r="I27" i="1"/>
  <c r="I26" i="1" s="1"/>
  <c r="I29" i="1" s="1"/>
  <c r="H27" i="1"/>
  <c r="G27" i="1"/>
  <c r="G26" i="1" s="1"/>
  <c r="G9" i="1" s="1"/>
  <c r="F27" i="1"/>
  <c r="F26" i="1" s="1"/>
  <c r="R26" i="1"/>
  <c r="P26" i="1"/>
  <c r="P29" i="1" s="1"/>
  <c r="L26" i="1"/>
  <c r="L29" i="1" s="1"/>
  <c r="H26" i="1"/>
  <c r="E26" i="1"/>
  <c r="E29" i="1" s="1"/>
  <c r="D26" i="1"/>
  <c r="D29" i="1" s="1"/>
  <c r="C26" i="1"/>
  <c r="B26" i="1"/>
  <c r="B29" i="1" s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P19" i="1"/>
  <c r="L19" i="1"/>
  <c r="K19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D14" i="1"/>
  <c r="E12" i="1"/>
  <c r="P11" i="1"/>
  <c r="L11" i="1"/>
  <c r="K11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P9" i="1"/>
  <c r="D9" i="1"/>
  <c r="C9" i="1"/>
  <c r="B9" i="1"/>
  <c r="G8" i="1"/>
  <c r="C8" i="1"/>
  <c r="F29" i="1" l="1"/>
  <c r="F9" i="1"/>
  <c r="J29" i="1"/>
  <c r="J9" i="1"/>
  <c r="N29" i="1"/>
  <c r="N9" i="1"/>
  <c r="E6" i="1"/>
  <c r="G29" i="1"/>
  <c r="L9" i="1"/>
  <c r="L14" i="1"/>
  <c r="E9" i="1"/>
  <c r="E14" i="1"/>
  <c r="F6" i="1"/>
  <c r="F7" i="1"/>
  <c r="F14" i="1"/>
  <c r="F11" i="1"/>
  <c r="M14" i="1"/>
  <c r="M9" i="1"/>
  <c r="M29" i="1"/>
  <c r="M6" i="1"/>
  <c r="P6" i="1"/>
  <c r="P14" i="1"/>
  <c r="C11" i="1"/>
  <c r="C7" i="1"/>
  <c r="B6" i="1"/>
  <c r="B14" i="1"/>
  <c r="B11" i="1"/>
  <c r="J6" i="1"/>
  <c r="J11" i="1"/>
  <c r="J14" i="1"/>
  <c r="N6" i="1"/>
  <c r="N11" i="1"/>
  <c r="R6" i="1"/>
  <c r="R11" i="1"/>
  <c r="C6" i="1"/>
  <c r="B7" i="1"/>
  <c r="R29" i="1"/>
  <c r="R14" i="1"/>
  <c r="R9" i="1"/>
  <c r="Q14" i="1"/>
  <c r="Q9" i="1"/>
  <c r="Q29" i="1"/>
  <c r="O11" i="1"/>
  <c r="O6" i="1"/>
  <c r="G7" i="1"/>
  <c r="I14" i="1"/>
  <c r="D11" i="1"/>
  <c r="D7" i="1"/>
  <c r="D6" i="1"/>
  <c r="H11" i="1"/>
  <c r="H7" i="1"/>
  <c r="H6" i="1"/>
  <c r="I9" i="1"/>
  <c r="N14" i="1"/>
  <c r="H9" i="1"/>
  <c r="H29" i="1"/>
  <c r="K87" i="1"/>
  <c r="K90" i="1"/>
  <c r="P90" i="1"/>
  <c r="P89" i="1"/>
  <c r="I6" i="1"/>
  <c r="B8" i="1"/>
  <c r="M8" i="1"/>
  <c r="C14" i="1"/>
  <c r="G14" i="1"/>
  <c r="K14" i="1"/>
  <c r="O14" i="1"/>
  <c r="L90" i="1"/>
  <c r="L89" i="1"/>
  <c r="D98" i="1"/>
  <c r="K6" i="1"/>
  <c r="G12" i="1"/>
  <c r="D12" i="1"/>
  <c r="H12" i="1"/>
  <c r="L12" i="1"/>
  <c r="O29" i="1"/>
  <c r="P45" i="1"/>
  <c r="P87" i="1"/>
  <c r="P8" i="1" s="1"/>
  <c r="H88" i="1"/>
  <c r="H87" i="1" s="1"/>
  <c r="H8" i="1" s="1"/>
  <c r="K89" i="1"/>
  <c r="Q98" i="1"/>
  <c r="Q88" i="1"/>
  <c r="G6" i="1"/>
  <c r="L6" i="1"/>
  <c r="Q6" i="1"/>
  <c r="K7" i="1"/>
  <c r="C12" i="1"/>
  <c r="H14" i="1"/>
  <c r="E7" i="1"/>
  <c r="M7" i="1"/>
  <c r="K29" i="1"/>
  <c r="Q55" i="1"/>
  <c r="L87" i="1"/>
  <c r="I88" i="1"/>
  <c r="I87" i="1" s="1"/>
  <c r="O87" i="1"/>
  <c r="O90" i="1"/>
  <c r="M90" i="1"/>
  <c r="F88" i="1"/>
  <c r="F87" i="1" s="1"/>
  <c r="J88" i="1"/>
  <c r="N88" i="1"/>
  <c r="R88" i="1"/>
  <c r="J90" i="1" l="1"/>
  <c r="J87" i="1"/>
  <c r="J89" i="1"/>
  <c r="O8" i="1"/>
  <c r="O12" i="1"/>
  <c r="Q89" i="1"/>
  <c r="Q87" i="1"/>
  <c r="Q90" i="1"/>
  <c r="O7" i="1"/>
  <c r="F12" i="1"/>
  <c r="F8" i="1"/>
  <c r="I12" i="1"/>
  <c r="I8" i="1"/>
  <c r="R90" i="1"/>
  <c r="R89" i="1"/>
  <c r="R87" i="1"/>
  <c r="L8" i="1"/>
  <c r="L7" i="1"/>
  <c r="N89" i="1"/>
  <c r="N87" i="1"/>
  <c r="N90" i="1"/>
  <c r="I7" i="1"/>
  <c r="P7" i="1"/>
  <c r="P12" i="1"/>
  <c r="K12" i="1"/>
  <c r="K8" i="1"/>
  <c r="J8" i="1" l="1"/>
  <c r="J12" i="1"/>
  <c r="J7" i="1"/>
  <c r="N12" i="1"/>
  <c r="N8" i="1"/>
  <c r="N7" i="1"/>
  <c r="R12" i="1"/>
  <c r="R8" i="1"/>
  <c r="R7" i="1"/>
  <c r="Q12" i="1"/>
  <c r="Q8" i="1"/>
  <c r="Q7" i="1"/>
</calcChain>
</file>

<file path=xl/comments1.xml><?xml version="1.0" encoding="utf-8"?>
<comments xmlns="http://schemas.openxmlformats.org/spreadsheetml/2006/main">
  <authors>
    <author>Gerard GAKUNZI</author>
  </authors>
  <commentList>
    <comment ref="R109" authorId="0" shapeId="0">
      <text>
        <r>
          <rPr>
            <b/>
            <sz val="9"/>
            <color indexed="81"/>
            <rFont val="Tahoma"/>
            <family val="2"/>
          </rPr>
          <t>Gerard GAKUNZI:</t>
        </r>
        <r>
          <rPr>
            <sz val="9"/>
            <color indexed="81"/>
            <rFont val="Tahoma"/>
            <family val="2"/>
          </rPr>
          <t xml:space="preserve">
includes KCC/Afrexim, Marriot Equity Kenya, BAC Bridge loan, Rwandair</t>
        </r>
      </text>
    </comment>
    <comment ref="O111" authorId="0" shapeId="0">
      <text>
        <r>
          <rPr>
            <b/>
            <sz val="9"/>
            <color indexed="81"/>
            <rFont val="Tahoma"/>
            <family val="2"/>
          </rPr>
          <t>Gerard GAKUNZI:</t>
        </r>
        <r>
          <rPr>
            <sz val="9"/>
            <color indexed="81"/>
            <rFont val="Tahoma"/>
            <family val="2"/>
          </rPr>
          <t xml:space="preserve">
ncludes EWASA/BK+ KCC/BK+ BAC Domestic+Marriot+Sonarwaincludes BAC Domestic+Marriot</t>
        </r>
      </text>
    </comment>
    <comment ref="P111" authorId="0" shapeId="0">
      <text>
        <r>
          <rPr>
            <b/>
            <sz val="9"/>
            <color indexed="81"/>
            <rFont val="Tahoma"/>
            <family val="2"/>
          </rPr>
          <t>Gerard GAKUNZI:</t>
        </r>
        <r>
          <rPr>
            <sz val="9"/>
            <color indexed="81"/>
            <rFont val="Tahoma"/>
            <family val="2"/>
          </rPr>
          <t xml:space="preserve">
ncludes EWASA/BK+ KCC/BK+ BAC Domestic+Marriot+Sonarwaincludes BAC Domestic+Marriot+Sonarwa</t>
        </r>
      </text>
    </comment>
    <comment ref="Q111" authorId="0" shapeId="0">
      <text>
        <r>
          <rPr>
            <b/>
            <sz val="9"/>
            <color indexed="81"/>
            <rFont val="Tahoma"/>
            <family val="2"/>
          </rPr>
          <t>Gerard GAKUNZI:</t>
        </r>
        <r>
          <rPr>
            <sz val="9"/>
            <color indexed="81"/>
            <rFont val="Tahoma"/>
            <family val="2"/>
          </rPr>
          <t xml:space="preserve">
ncludes EWASA/BK+ KCC/BK+ BAC Domestic+Marriot+Sonarwaincludes BAC Domestic+Marriot+Sonarwa</t>
        </r>
      </text>
    </comment>
    <comment ref="R111" authorId="0" shapeId="0">
      <text>
        <r>
          <rPr>
            <b/>
            <sz val="9"/>
            <color indexed="81"/>
            <rFont val="Tahoma"/>
            <family val="2"/>
          </rPr>
          <t>Gerard GAKUNZI:</t>
        </r>
        <r>
          <rPr>
            <sz val="9"/>
            <color indexed="81"/>
            <rFont val="Tahoma"/>
            <family val="2"/>
          </rPr>
          <t xml:space="preserve">
includes EWASA/BK+ KCC/BK+ BAC Bridge loan Domestic+Marriot+Sonarwa </t>
        </r>
      </text>
    </comment>
  </commentList>
</comments>
</file>

<file path=xl/sharedStrings.xml><?xml version="1.0" encoding="utf-8"?>
<sst xmlns="http://schemas.openxmlformats.org/spreadsheetml/2006/main" count="323" uniqueCount="85">
  <si>
    <t xml:space="preserve"> Debt Statistics</t>
  </si>
  <si>
    <t>Debt Statistics (percent of GDP, end of period exchange rate)</t>
  </si>
  <si>
    <t xml:space="preserve">Public &amp; Publickly Guaranteed Debt (% of GDP) </t>
  </si>
  <si>
    <t>Public &amp; Publickly Guaranteed Debt +Private debt (% of GDP)</t>
  </si>
  <si>
    <t xml:space="preserve">     Private Debt % of GDP</t>
  </si>
  <si>
    <t xml:space="preserve">    Domestic Debt % of GDP</t>
  </si>
  <si>
    <t xml:space="preserve">    Central Government External Debt (% of GDP)</t>
  </si>
  <si>
    <t xml:space="preserve">    SOE's (Domestic+External) % of GDP</t>
  </si>
  <si>
    <t>External Debt (Public+Private) % of GDP</t>
  </si>
  <si>
    <t xml:space="preserve">Public &amp; Publickly Guaranteed Debt (Billion FRW) </t>
  </si>
  <si>
    <t>Central Government External  Debt</t>
  </si>
  <si>
    <t>Foreign currency (million USD)</t>
  </si>
  <si>
    <t>Foreign currency (Billion FRW)</t>
  </si>
  <si>
    <t>SOE'S loans(Billion FRW)</t>
  </si>
  <si>
    <t>by place of issuance</t>
  </si>
  <si>
    <t>Debt issued locally (percent of CG debt)</t>
  </si>
  <si>
    <t>Debt issued internationally (percent of CG debt)</t>
  </si>
  <si>
    <t>Central Government Domestic Debt</t>
  </si>
  <si>
    <t>Domestic debt( in Billion Rwf)</t>
  </si>
  <si>
    <t>O/W:Medium and long term</t>
  </si>
  <si>
    <t xml:space="preserve">        Short term</t>
  </si>
  <si>
    <t>Domestic debt( in Million USD)</t>
  </si>
  <si>
    <t>Central Government External Debt(Million of USD)</t>
  </si>
  <si>
    <t>debt holding by maturity</t>
  </si>
  <si>
    <t>Short term</t>
  </si>
  <si>
    <t>…</t>
  </si>
  <si>
    <t>Medium term</t>
  </si>
  <si>
    <t>Long term</t>
  </si>
  <si>
    <t>debt holding by category of holder</t>
  </si>
  <si>
    <t>Multilaterals</t>
  </si>
  <si>
    <t>Bilaterals</t>
  </si>
  <si>
    <t>IFIs</t>
  </si>
  <si>
    <t>Banks</t>
  </si>
  <si>
    <t>Individuals</t>
  </si>
  <si>
    <t>Public External Debt</t>
  </si>
  <si>
    <t>by creditor</t>
  </si>
  <si>
    <t>Commercial</t>
  </si>
  <si>
    <t>by maturity</t>
  </si>
  <si>
    <t>by currency composition (expressed in million USD)</t>
  </si>
  <si>
    <t>UAE Dirham (AED)</t>
  </si>
  <si>
    <t>Canadian Dollar (CAD)</t>
  </si>
  <si>
    <t>Swiss Franc (CHF)</t>
  </si>
  <si>
    <t>CNY (Chinese Yuan)</t>
  </si>
  <si>
    <t>0,00</t>
  </si>
  <si>
    <t>Danish Krone (DKK)</t>
  </si>
  <si>
    <t>EURO (EUR)</t>
  </si>
  <si>
    <t>British Pound (GBP)</t>
  </si>
  <si>
    <t>Japanese Yen (JPY)</t>
  </si>
  <si>
    <t>Kuwaiti Dinar (KWD)</t>
  </si>
  <si>
    <t>Libyan Dinar (LYD)</t>
  </si>
  <si>
    <t>Norwegian Krone (NOK)</t>
  </si>
  <si>
    <t>Saudi Riyal (SAR)</t>
  </si>
  <si>
    <t>Special Drawing Rights (SDR)</t>
  </si>
  <si>
    <t>Swedish krone (SEK)</t>
  </si>
  <si>
    <t>US Dollar (USD)</t>
  </si>
  <si>
    <t>Korean Won (KRW)</t>
  </si>
  <si>
    <t>by interest rate</t>
  </si>
  <si>
    <t>Fixed rate</t>
  </si>
  <si>
    <t>Floating rate</t>
  </si>
  <si>
    <t>Amortization schedule</t>
  </si>
  <si>
    <t>Short term external public debt</t>
  </si>
  <si>
    <t>Medium term external public debt</t>
  </si>
  <si>
    <t>Long term external public debt</t>
  </si>
  <si>
    <t>External interest service</t>
  </si>
  <si>
    <t>on short term debt</t>
  </si>
  <si>
    <t>on medium term debt</t>
  </si>
  <si>
    <t>on long term debt</t>
  </si>
  <si>
    <t>Private External Debt (FRW)</t>
  </si>
  <si>
    <t>by sector</t>
  </si>
  <si>
    <t>Bank</t>
  </si>
  <si>
    <t>Non-Bank</t>
  </si>
  <si>
    <t>by type</t>
  </si>
  <si>
    <t>Loans</t>
  </si>
  <si>
    <t>Bonds</t>
  </si>
  <si>
    <t>Non-resident deposits</t>
  </si>
  <si>
    <t>Gross Domestic Product( current ) in billions of Rwf</t>
  </si>
  <si>
    <t>Gross Domestic Product( current ) in millions of USD</t>
  </si>
  <si>
    <t>Exchange Rate ( Period Average)</t>
  </si>
  <si>
    <t>Exchange Rate ( End of Period )</t>
  </si>
  <si>
    <t>Memo item:</t>
  </si>
  <si>
    <t>SOE's Debt (in FRW)</t>
  </si>
  <si>
    <t>SOE's Debt (in USD)</t>
  </si>
  <si>
    <t>O/W: External</t>
  </si>
  <si>
    <t xml:space="preserve">        Domestic (USD)</t>
  </si>
  <si>
    <t xml:space="preserve">        Domestic (FRW)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</si>
</sst>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0.0000000000"/>
    <numFmt numFmtId="167" formatCode="0.0%"/>
    <numFmt numFmtId="168" formatCode="_(* #,##0.0_);_(* \(#,##0.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name val="Tahoma"/>
      <family val="2"/>
    </font>
    <font>
      <i/>
      <sz val="9"/>
      <name val="Tahoma"/>
      <family val="2"/>
    </font>
    <font>
      <sz val="9"/>
      <color indexed="8"/>
      <name val="Tahoma"/>
      <family val="2"/>
    </font>
    <font>
      <b/>
      <sz val="9"/>
      <color theme="1"/>
      <name val="Gill Sans MT"/>
      <family val="2"/>
    </font>
    <font>
      <b/>
      <sz val="9"/>
      <color indexed="23"/>
      <name val="Tahoma"/>
      <family val="2"/>
    </font>
    <font>
      <b/>
      <sz val="9"/>
      <color indexed="17"/>
      <name val="Tahoma"/>
      <family val="2"/>
    </font>
    <font>
      <b/>
      <sz val="9"/>
      <name val="Tahoma"/>
      <family val="2"/>
    </font>
    <font>
      <sz val="9"/>
      <color indexed="17"/>
      <name val="Tahoma"/>
      <family val="2"/>
    </font>
    <font>
      <sz val="9"/>
      <name val="Tahoma"/>
      <family val="2"/>
    </font>
    <font>
      <b/>
      <sz val="9"/>
      <color indexed="8"/>
      <name val="Tahoma"/>
      <family val="2"/>
    </font>
    <font>
      <i/>
      <sz val="9"/>
      <color indexed="8"/>
      <name val="Tahoma"/>
      <family val="2"/>
    </font>
    <font>
      <i/>
      <sz val="11"/>
      <color theme="1"/>
      <name val="Calibri"/>
      <family val="2"/>
      <scheme val="minor"/>
    </font>
    <font>
      <u/>
      <sz val="9"/>
      <color indexed="8"/>
      <name val="Tahoma"/>
      <family val="2"/>
    </font>
    <font>
      <b/>
      <i/>
      <u/>
      <sz val="9"/>
      <color indexed="8"/>
      <name val="Tahoma"/>
      <family val="2"/>
    </font>
    <font>
      <sz val="9"/>
      <color theme="1"/>
      <name val="Gill Sans M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0" borderId="0" xfId="0" applyFont="1"/>
    <xf numFmtId="0" fontId="6" fillId="3" borderId="1" xfId="0" applyFont="1" applyFill="1" applyBorder="1" applyAlignment="1"/>
    <xf numFmtId="0" fontId="7" fillId="0" borderId="0" xfId="0" applyFont="1" applyFill="1"/>
    <xf numFmtId="0" fontId="8" fillId="0" borderId="0" xfId="0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0" fontId="9" fillId="0" borderId="0" xfId="0" applyFont="1" applyFill="1" applyBorder="1"/>
    <xf numFmtId="164" fontId="8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164" fontId="11" fillId="0" borderId="0" xfId="0" applyNumberFormat="1" applyFont="1" applyFill="1" applyBorder="1"/>
    <xf numFmtId="164" fontId="5" fillId="0" borderId="0" xfId="0" applyNumberFormat="1" applyFont="1" applyFill="1"/>
    <xf numFmtId="164" fontId="0" fillId="0" borderId="0" xfId="0" applyNumberFormat="1"/>
    <xf numFmtId="0" fontId="12" fillId="0" borderId="0" xfId="0" applyFont="1" applyFill="1" applyBorder="1" applyAlignment="1">
      <alignment horizontal="left" indent="2"/>
    </xf>
    <xf numFmtId="164" fontId="9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indent="2"/>
    </xf>
    <xf numFmtId="164" fontId="4" fillId="0" borderId="0" xfId="0" applyNumberFormat="1" applyFont="1" applyFill="1" applyBorder="1" applyAlignment="1">
      <alignment horizontal="center"/>
    </xf>
    <xf numFmtId="0" fontId="14" fillId="0" borderId="0" xfId="0" applyFont="1"/>
    <xf numFmtId="164" fontId="13" fillId="0" borderId="0" xfId="0" applyNumberFormat="1" applyFont="1" applyFill="1" applyAlignment="1">
      <alignment horizontal="center"/>
    </xf>
    <xf numFmtId="164" fontId="12" fillId="0" borderId="0" xfId="0" applyNumberFormat="1" applyFont="1" applyFill="1" applyAlignment="1">
      <alignment horizontal="center"/>
    </xf>
    <xf numFmtId="165" fontId="12" fillId="0" borderId="0" xfId="0" applyNumberFormat="1" applyFont="1" applyFill="1" applyAlignment="1">
      <alignment horizontal="center"/>
    </xf>
    <xf numFmtId="0" fontId="12" fillId="0" borderId="0" xfId="0" applyFont="1" applyFill="1" applyBorder="1" applyAlignment="1">
      <alignment horizontal="left" indent="1"/>
    </xf>
    <xf numFmtId="164" fontId="9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indent="3"/>
    </xf>
    <xf numFmtId="164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indent="3"/>
    </xf>
    <xf numFmtId="164" fontId="2" fillId="0" borderId="0" xfId="0" applyNumberFormat="1" applyFont="1"/>
    <xf numFmtId="0" fontId="2" fillId="0" borderId="0" xfId="0" applyFont="1"/>
    <xf numFmtId="165" fontId="11" fillId="0" borderId="0" xfId="0" applyNumberFormat="1" applyFont="1" applyFill="1" applyBorder="1"/>
    <xf numFmtId="164" fontId="5" fillId="0" borderId="0" xfId="0" applyNumberFormat="1" applyFont="1"/>
    <xf numFmtId="0" fontId="5" fillId="0" borderId="0" xfId="0" applyFont="1" applyAlignment="1"/>
    <xf numFmtId="0" fontId="15" fillId="0" borderId="0" xfId="0" applyFont="1" applyFill="1" applyBorder="1" applyAlignment="1">
      <alignment horizontal="left" indent="2"/>
    </xf>
    <xf numFmtId="1" fontId="11" fillId="0" borderId="0" xfId="0" applyNumberFormat="1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center"/>
    </xf>
    <xf numFmtId="9" fontId="5" fillId="0" borderId="0" xfId="1" applyFont="1"/>
    <xf numFmtId="0" fontId="5" fillId="0" borderId="0" xfId="1" applyNumberFormat="1" applyFont="1"/>
    <xf numFmtId="2" fontId="5" fillId="0" borderId="0" xfId="1" applyNumberFormat="1" applyFont="1"/>
    <xf numFmtId="0" fontId="12" fillId="0" borderId="0" xfId="0" applyFont="1" applyFill="1" applyBorder="1" applyAlignment="1">
      <alignment horizontal="left" indent="5"/>
    </xf>
    <xf numFmtId="0" fontId="12" fillId="0" borderId="0" xfId="0" applyFont="1" applyFill="1" applyBorder="1"/>
    <xf numFmtId="0" fontId="5" fillId="0" borderId="0" xfId="0" applyFont="1" applyFill="1" applyBorder="1" applyAlignment="1">
      <alignment horizontal="left" indent="5"/>
    </xf>
    <xf numFmtId="0" fontId="5" fillId="0" borderId="0" xfId="0" applyFont="1" applyFill="1" applyBorder="1"/>
    <xf numFmtId="165" fontId="0" fillId="0" borderId="0" xfId="0" applyNumberFormat="1"/>
    <xf numFmtId="0" fontId="13" fillId="0" borderId="0" xfId="0" applyFont="1" applyFill="1" applyBorder="1" applyAlignment="1">
      <alignment horizontal="left" indent="4"/>
    </xf>
    <xf numFmtId="0" fontId="5" fillId="0" borderId="0" xfId="0" applyFont="1" applyAlignment="1">
      <alignment horizontal="center"/>
    </xf>
    <xf numFmtId="0" fontId="16" fillId="0" borderId="0" xfId="0" applyFont="1" applyFill="1" applyBorder="1" applyAlignment="1">
      <alignment horizontal="left" indent="1"/>
    </xf>
    <xf numFmtId="166" fontId="0" fillId="0" borderId="0" xfId="0" applyNumberFormat="1"/>
    <xf numFmtId="167" fontId="0" fillId="0" borderId="0" xfId="1" applyNumberFormat="1" applyFont="1"/>
    <xf numFmtId="168" fontId="0" fillId="0" borderId="0" xfId="0" applyNumberFormat="1"/>
    <xf numFmtId="164" fontId="11" fillId="0" borderId="0" xfId="0" applyNumberFormat="1" applyFont="1" applyFill="1" applyBorder="1" applyAlignment="1"/>
    <xf numFmtId="167" fontId="11" fillId="0" borderId="0" xfId="1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0" fontId="12" fillId="0" borderId="0" xfId="0" applyFont="1"/>
    <xf numFmtId="165" fontId="11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11" fillId="0" borderId="0" xfId="0" applyFont="1" applyFill="1" applyBorder="1"/>
    <xf numFmtId="167" fontId="1" fillId="0" borderId="0" xfId="1" applyNumberFormat="1" applyFont="1"/>
    <xf numFmtId="0" fontId="17" fillId="0" borderId="0" xfId="0" applyFont="1" applyBorder="1" applyAlignment="1"/>
    <xf numFmtId="2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bt%20Statistics/Debt%20Unit%20Database%20(Official)/Public%20Debt%20Database%20offici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ebt%20Statistics/External%20debt%20Stock%20&amp;%20Service/2018/Stocks/Final%20External%20Debt%20Stock%20end%20Dec,%202018%20by%20currenc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 Ext. Debt service (Mio USD)"/>
      <sheetName val="Debt Securities Dataset"/>
      <sheetName val="Domestic Debt Set"/>
      <sheetName val="Public Debt.Stock.FY"/>
      <sheetName val="Fitch Data"/>
      <sheetName val=" NCB limit Updates"/>
      <sheetName val="Public Debt Website"/>
      <sheetName val="Public Debt.Stock CY RWF"/>
      <sheetName val="Public Debt. Stock.CY USD"/>
      <sheetName val="C. Ext.Debt Disb (Mio USD)"/>
      <sheetName val="C. Ext.Debt Stock (Mio USD)"/>
      <sheetName val="Share with S&amp;P"/>
      <sheetName val="Dom. Debt Stock for (Fred temp)"/>
      <sheetName val="Dom.Debt dat.month"/>
      <sheetName val="S&amp;P 2018 CG"/>
      <sheetName val="S&amp;P 2019 CG"/>
      <sheetName val="Onlending Stocks Updates"/>
      <sheetName val="Macro &amp; Debt Indicators "/>
      <sheetName val="Debt Ratios in EAC"/>
      <sheetName val="Aggr. EAC Macro Conveg. Indic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8">
          <cell r="B38">
            <v>30.1372</v>
          </cell>
          <cell r="C38">
            <v>18.105340000000002</v>
          </cell>
          <cell r="D38">
            <v>14.3</v>
          </cell>
          <cell r="E38">
            <v>67.7</v>
          </cell>
          <cell r="F38">
            <v>77.2</v>
          </cell>
          <cell r="G38">
            <v>64.5</v>
          </cell>
          <cell r="H38">
            <v>152.5566</v>
          </cell>
          <cell r="I38">
            <v>163.9</v>
          </cell>
          <cell r="J38">
            <v>257.8</v>
          </cell>
          <cell r="K38">
            <v>239</v>
          </cell>
          <cell r="M38">
            <v>303.66129999999998</v>
          </cell>
          <cell r="N38">
            <v>327</v>
          </cell>
        </row>
        <row r="39">
          <cell r="B39">
            <v>7.7683</v>
          </cell>
          <cell r="C39">
            <v>5.5411599999999996</v>
          </cell>
          <cell r="D39">
            <v>2.8</v>
          </cell>
          <cell r="E39">
            <v>1.7</v>
          </cell>
          <cell r="F39">
            <v>2.1</v>
          </cell>
          <cell r="G39">
            <v>40.799999999999997</v>
          </cell>
          <cell r="H39">
            <v>12.4474</v>
          </cell>
          <cell r="I39">
            <v>63.4</v>
          </cell>
          <cell r="J39">
            <v>79.7</v>
          </cell>
          <cell r="K39">
            <v>167.5</v>
          </cell>
          <cell r="M39">
            <v>195.00000000000006</v>
          </cell>
          <cell r="N39">
            <v>245</v>
          </cell>
        </row>
        <row r="40">
          <cell r="B40">
            <v>142.33032999999995</v>
          </cell>
          <cell r="C40">
            <v>130.38008000000002</v>
          </cell>
          <cell r="D40">
            <v>160.655</v>
          </cell>
          <cell r="E40">
            <v>149.5</v>
          </cell>
          <cell r="F40">
            <v>103.10000000000001</v>
          </cell>
          <cell r="G40">
            <v>139.59999999999997</v>
          </cell>
          <cell r="H40">
            <v>147.17279999999997</v>
          </cell>
          <cell r="I40">
            <v>162.85600000000005</v>
          </cell>
          <cell r="J40">
            <v>167.59999999999997</v>
          </cell>
          <cell r="K40">
            <v>164.30000000000007</v>
          </cell>
          <cell r="M40">
            <v>177.3287369995216</v>
          </cell>
          <cell r="N40">
            <v>177.01873699952148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8">
          <cell r="E8">
            <v>2681197.0782440989</v>
          </cell>
        </row>
        <row r="9">
          <cell r="E9">
            <v>159758453.79231822</v>
          </cell>
        </row>
        <row r="10">
          <cell r="E10">
            <v>161141343.81538522</v>
          </cell>
        </row>
        <row r="11">
          <cell r="E11">
            <v>4430119.60982526</v>
          </cell>
        </row>
        <row r="12">
          <cell r="E12">
            <v>60550833.471842773</v>
          </cell>
        </row>
        <row r="13">
          <cell r="E13">
            <v>9290886.1509374138</v>
          </cell>
        </row>
        <row r="14">
          <cell r="E14">
            <v>60028628.811542109</v>
          </cell>
        </row>
        <row r="15">
          <cell r="E15">
            <v>315281.88856692356</v>
          </cell>
        </row>
        <row r="16">
          <cell r="E16">
            <v>56461234.984329082</v>
          </cell>
        </row>
        <row r="17">
          <cell r="E17">
            <v>1933709555.0549557</v>
          </cell>
        </row>
        <row r="18">
          <cell r="E18">
            <v>1013772334.0599999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16"/>
  <sheetViews>
    <sheetView tabSelected="1" topLeftCell="H1" workbookViewId="0">
      <selection activeCell="R6" sqref="R6"/>
    </sheetView>
  </sheetViews>
  <sheetFormatPr defaultRowHeight="15" x14ac:dyDescent="0.25"/>
  <cols>
    <col min="1" max="1" width="46.85546875" customWidth="1"/>
    <col min="2" max="2" width="10.7109375" customWidth="1"/>
    <col min="3" max="3" width="9.85546875" customWidth="1"/>
    <col min="4" max="4" width="11.140625" customWidth="1"/>
    <col min="5" max="5" width="9.85546875" customWidth="1"/>
    <col min="6" max="6" width="11.140625" customWidth="1"/>
    <col min="7" max="7" width="9.85546875" customWidth="1"/>
    <col min="8" max="8" width="7.5703125" customWidth="1"/>
    <col min="9" max="11" width="8" customWidth="1"/>
    <col min="12" max="12" width="8.5703125" customWidth="1"/>
    <col min="13" max="13" width="9.28515625" customWidth="1"/>
    <col min="14" max="14" width="8" customWidth="1"/>
    <col min="15" max="15" width="10.28515625" customWidth="1"/>
    <col min="16" max="16" width="10.7109375" customWidth="1"/>
    <col min="17" max="17" width="10.42578125" customWidth="1"/>
    <col min="19" max="19" width="13.5703125" customWidth="1"/>
    <col min="250" max="250" width="46.7109375" customWidth="1"/>
    <col min="251" max="251" width="10.7109375" customWidth="1"/>
    <col min="252" max="252" width="9.85546875" customWidth="1"/>
    <col min="253" max="253" width="11.140625" customWidth="1"/>
    <col min="254" max="254" width="9.85546875" customWidth="1"/>
    <col min="255" max="255" width="11.140625" customWidth="1"/>
    <col min="256" max="256" width="9.85546875" customWidth="1"/>
    <col min="257" max="257" width="7.5703125" customWidth="1"/>
    <col min="258" max="260" width="8" customWidth="1"/>
    <col min="261" max="261" width="12.28515625" customWidth="1"/>
    <col min="262" max="262" width="8.140625" customWidth="1"/>
    <col min="263" max="263" width="8" customWidth="1"/>
    <col min="264" max="264" width="7.5703125" bestFit="1" customWidth="1"/>
    <col min="265" max="265" width="8" bestFit="1" customWidth="1"/>
    <col min="266" max="266" width="13.5703125" customWidth="1"/>
    <col min="506" max="506" width="46.7109375" customWidth="1"/>
    <col min="507" max="507" width="10.7109375" customWidth="1"/>
    <col min="508" max="508" width="9.85546875" customWidth="1"/>
    <col min="509" max="509" width="11.140625" customWidth="1"/>
    <col min="510" max="510" width="9.85546875" customWidth="1"/>
    <col min="511" max="511" width="11.140625" customWidth="1"/>
    <col min="512" max="512" width="9.85546875" customWidth="1"/>
    <col min="513" max="513" width="7.5703125" customWidth="1"/>
    <col min="514" max="516" width="8" customWidth="1"/>
    <col min="517" max="517" width="12.28515625" customWidth="1"/>
    <col min="518" max="518" width="8.140625" customWidth="1"/>
    <col min="519" max="519" width="8" customWidth="1"/>
    <col min="520" max="520" width="7.5703125" bestFit="1" customWidth="1"/>
    <col min="521" max="521" width="8" bestFit="1" customWidth="1"/>
    <col min="522" max="522" width="13.5703125" customWidth="1"/>
    <col min="762" max="762" width="46.7109375" customWidth="1"/>
    <col min="763" max="763" width="10.7109375" customWidth="1"/>
    <col min="764" max="764" width="9.85546875" customWidth="1"/>
    <col min="765" max="765" width="11.140625" customWidth="1"/>
    <col min="766" max="766" width="9.85546875" customWidth="1"/>
    <col min="767" max="767" width="11.140625" customWidth="1"/>
    <col min="768" max="768" width="9.85546875" customWidth="1"/>
    <col min="769" max="769" width="7.5703125" customWidth="1"/>
    <col min="770" max="772" width="8" customWidth="1"/>
    <col min="773" max="773" width="12.28515625" customWidth="1"/>
    <col min="774" max="774" width="8.140625" customWidth="1"/>
    <col min="775" max="775" width="8" customWidth="1"/>
    <col min="776" max="776" width="7.5703125" bestFit="1" customWidth="1"/>
    <col min="777" max="777" width="8" bestFit="1" customWidth="1"/>
    <col min="778" max="778" width="13.5703125" customWidth="1"/>
    <col min="1018" max="1018" width="46.7109375" customWidth="1"/>
    <col min="1019" max="1019" width="10.7109375" customWidth="1"/>
    <col min="1020" max="1020" width="9.85546875" customWidth="1"/>
    <col min="1021" max="1021" width="11.140625" customWidth="1"/>
    <col min="1022" max="1022" width="9.85546875" customWidth="1"/>
    <col min="1023" max="1023" width="11.140625" customWidth="1"/>
    <col min="1024" max="1024" width="9.85546875" customWidth="1"/>
    <col min="1025" max="1025" width="7.5703125" customWidth="1"/>
    <col min="1026" max="1028" width="8" customWidth="1"/>
    <col min="1029" max="1029" width="12.28515625" customWidth="1"/>
    <col min="1030" max="1030" width="8.140625" customWidth="1"/>
    <col min="1031" max="1031" width="8" customWidth="1"/>
    <col min="1032" max="1032" width="7.5703125" bestFit="1" customWidth="1"/>
    <col min="1033" max="1033" width="8" bestFit="1" customWidth="1"/>
    <col min="1034" max="1034" width="13.5703125" customWidth="1"/>
    <col min="1274" max="1274" width="46.7109375" customWidth="1"/>
    <col min="1275" max="1275" width="10.7109375" customWidth="1"/>
    <col min="1276" max="1276" width="9.85546875" customWidth="1"/>
    <col min="1277" max="1277" width="11.140625" customWidth="1"/>
    <col min="1278" max="1278" width="9.85546875" customWidth="1"/>
    <col min="1279" max="1279" width="11.140625" customWidth="1"/>
    <col min="1280" max="1280" width="9.85546875" customWidth="1"/>
    <col min="1281" max="1281" width="7.5703125" customWidth="1"/>
    <col min="1282" max="1284" width="8" customWidth="1"/>
    <col min="1285" max="1285" width="12.28515625" customWidth="1"/>
    <col min="1286" max="1286" width="8.140625" customWidth="1"/>
    <col min="1287" max="1287" width="8" customWidth="1"/>
    <col min="1288" max="1288" width="7.5703125" bestFit="1" customWidth="1"/>
    <col min="1289" max="1289" width="8" bestFit="1" customWidth="1"/>
    <col min="1290" max="1290" width="13.5703125" customWidth="1"/>
    <col min="1530" max="1530" width="46.7109375" customWidth="1"/>
    <col min="1531" max="1531" width="10.7109375" customWidth="1"/>
    <col min="1532" max="1532" width="9.85546875" customWidth="1"/>
    <col min="1533" max="1533" width="11.140625" customWidth="1"/>
    <col min="1534" max="1534" width="9.85546875" customWidth="1"/>
    <col min="1535" max="1535" width="11.140625" customWidth="1"/>
    <col min="1536" max="1536" width="9.85546875" customWidth="1"/>
    <col min="1537" max="1537" width="7.5703125" customWidth="1"/>
    <col min="1538" max="1540" width="8" customWidth="1"/>
    <col min="1541" max="1541" width="12.28515625" customWidth="1"/>
    <col min="1542" max="1542" width="8.140625" customWidth="1"/>
    <col min="1543" max="1543" width="8" customWidth="1"/>
    <col min="1544" max="1544" width="7.5703125" bestFit="1" customWidth="1"/>
    <col min="1545" max="1545" width="8" bestFit="1" customWidth="1"/>
    <col min="1546" max="1546" width="13.5703125" customWidth="1"/>
    <col min="1786" max="1786" width="46.7109375" customWidth="1"/>
    <col min="1787" max="1787" width="10.7109375" customWidth="1"/>
    <col min="1788" max="1788" width="9.85546875" customWidth="1"/>
    <col min="1789" max="1789" width="11.140625" customWidth="1"/>
    <col min="1790" max="1790" width="9.85546875" customWidth="1"/>
    <col min="1791" max="1791" width="11.140625" customWidth="1"/>
    <col min="1792" max="1792" width="9.85546875" customWidth="1"/>
    <col min="1793" max="1793" width="7.5703125" customWidth="1"/>
    <col min="1794" max="1796" width="8" customWidth="1"/>
    <col min="1797" max="1797" width="12.28515625" customWidth="1"/>
    <col min="1798" max="1798" width="8.140625" customWidth="1"/>
    <col min="1799" max="1799" width="8" customWidth="1"/>
    <col min="1800" max="1800" width="7.5703125" bestFit="1" customWidth="1"/>
    <col min="1801" max="1801" width="8" bestFit="1" customWidth="1"/>
    <col min="1802" max="1802" width="13.5703125" customWidth="1"/>
    <col min="2042" max="2042" width="46.7109375" customWidth="1"/>
    <col min="2043" max="2043" width="10.7109375" customWidth="1"/>
    <col min="2044" max="2044" width="9.85546875" customWidth="1"/>
    <col min="2045" max="2045" width="11.140625" customWidth="1"/>
    <col min="2046" max="2046" width="9.85546875" customWidth="1"/>
    <col min="2047" max="2047" width="11.140625" customWidth="1"/>
    <col min="2048" max="2048" width="9.85546875" customWidth="1"/>
    <col min="2049" max="2049" width="7.5703125" customWidth="1"/>
    <col min="2050" max="2052" width="8" customWidth="1"/>
    <col min="2053" max="2053" width="12.28515625" customWidth="1"/>
    <col min="2054" max="2054" width="8.140625" customWidth="1"/>
    <col min="2055" max="2055" width="8" customWidth="1"/>
    <col min="2056" max="2056" width="7.5703125" bestFit="1" customWidth="1"/>
    <col min="2057" max="2057" width="8" bestFit="1" customWidth="1"/>
    <col min="2058" max="2058" width="13.5703125" customWidth="1"/>
    <col min="2298" max="2298" width="46.7109375" customWidth="1"/>
    <col min="2299" max="2299" width="10.7109375" customWidth="1"/>
    <col min="2300" max="2300" width="9.85546875" customWidth="1"/>
    <col min="2301" max="2301" width="11.140625" customWidth="1"/>
    <col min="2302" max="2302" width="9.85546875" customWidth="1"/>
    <col min="2303" max="2303" width="11.140625" customWidth="1"/>
    <col min="2304" max="2304" width="9.85546875" customWidth="1"/>
    <col min="2305" max="2305" width="7.5703125" customWidth="1"/>
    <col min="2306" max="2308" width="8" customWidth="1"/>
    <col min="2309" max="2309" width="12.28515625" customWidth="1"/>
    <col min="2310" max="2310" width="8.140625" customWidth="1"/>
    <col min="2311" max="2311" width="8" customWidth="1"/>
    <col min="2312" max="2312" width="7.5703125" bestFit="1" customWidth="1"/>
    <col min="2313" max="2313" width="8" bestFit="1" customWidth="1"/>
    <col min="2314" max="2314" width="13.5703125" customWidth="1"/>
    <col min="2554" max="2554" width="46.7109375" customWidth="1"/>
    <col min="2555" max="2555" width="10.7109375" customWidth="1"/>
    <col min="2556" max="2556" width="9.85546875" customWidth="1"/>
    <col min="2557" max="2557" width="11.140625" customWidth="1"/>
    <col min="2558" max="2558" width="9.85546875" customWidth="1"/>
    <col min="2559" max="2559" width="11.140625" customWidth="1"/>
    <col min="2560" max="2560" width="9.85546875" customWidth="1"/>
    <col min="2561" max="2561" width="7.5703125" customWidth="1"/>
    <col min="2562" max="2564" width="8" customWidth="1"/>
    <col min="2565" max="2565" width="12.28515625" customWidth="1"/>
    <col min="2566" max="2566" width="8.140625" customWidth="1"/>
    <col min="2567" max="2567" width="8" customWidth="1"/>
    <col min="2568" max="2568" width="7.5703125" bestFit="1" customWidth="1"/>
    <col min="2569" max="2569" width="8" bestFit="1" customWidth="1"/>
    <col min="2570" max="2570" width="13.5703125" customWidth="1"/>
    <col min="2810" max="2810" width="46.7109375" customWidth="1"/>
    <col min="2811" max="2811" width="10.7109375" customWidth="1"/>
    <col min="2812" max="2812" width="9.85546875" customWidth="1"/>
    <col min="2813" max="2813" width="11.140625" customWidth="1"/>
    <col min="2814" max="2814" width="9.85546875" customWidth="1"/>
    <col min="2815" max="2815" width="11.140625" customWidth="1"/>
    <col min="2816" max="2816" width="9.85546875" customWidth="1"/>
    <col min="2817" max="2817" width="7.5703125" customWidth="1"/>
    <col min="2818" max="2820" width="8" customWidth="1"/>
    <col min="2821" max="2821" width="12.28515625" customWidth="1"/>
    <col min="2822" max="2822" width="8.140625" customWidth="1"/>
    <col min="2823" max="2823" width="8" customWidth="1"/>
    <col min="2824" max="2824" width="7.5703125" bestFit="1" customWidth="1"/>
    <col min="2825" max="2825" width="8" bestFit="1" customWidth="1"/>
    <col min="2826" max="2826" width="13.5703125" customWidth="1"/>
    <col min="3066" max="3066" width="46.7109375" customWidth="1"/>
    <col min="3067" max="3067" width="10.7109375" customWidth="1"/>
    <col min="3068" max="3068" width="9.85546875" customWidth="1"/>
    <col min="3069" max="3069" width="11.140625" customWidth="1"/>
    <col min="3070" max="3070" width="9.85546875" customWidth="1"/>
    <col min="3071" max="3071" width="11.140625" customWidth="1"/>
    <col min="3072" max="3072" width="9.85546875" customWidth="1"/>
    <col min="3073" max="3073" width="7.5703125" customWidth="1"/>
    <col min="3074" max="3076" width="8" customWidth="1"/>
    <col min="3077" max="3077" width="12.28515625" customWidth="1"/>
    <col min="3078" max="3078" width="8.140625" customWidth="1"/>
    <col min="3079" max="3079" width="8" customWidth="1"/>
    <col min="3080" max="3080" width="7.5703125" bestFit="1" customWidth="1"/>
    <col min="3081" max="3081" width="8" bestFit="1" customWidth="1"/>
    <col min="3082" max="3082" width="13.5703125" customWidth="1"/>
    <col min="3322" max="3322" width="46.7109375" customWidth="1"/>
    <col min="3323" max="3323" width="10.7109375" customWidth="1"/>
    <col min="3324" max="3324" width="9.85546875" customWidth="1"/>
    <col min="3325" max="3325" width="11.140625" customWidth="1"/>
    <col min="3326" max="3326" width="9.85546875" customWidth="1"/>
    <col min="3327" max="3327" width="11.140625" customWidth="1"/>
    <col min="3328" max="3328" width="9.85546875" customWidth="1"/>
    <col min="3329" max="3329" width="7.5703125" customWidth="1"/>
    <col min="3330" max="3332" width="8" customWidth="1"/>
    <col min="3333" max="3333" width="12.28515625" customWidth="1"/>
    <col min="3334" max="3334" width="8.140625" customWidth="1"/>
    <col min="3335" max="3335" width="8" customWidth="1"/>
    <col min="3336" max="3336" width="7.5703125" bestFit="1" customWidth="1"/>
    <col min="3337" max="3337" width="8" bestFit="1" customWidth="1"/>
    <col min="3338" max="3338" width="13.5703125" customWidth="1"/>
    <col min="3578" max="3578" width="46.7109375" customWidth="1"/>
    <col min="3579" max="3579" width="10.7109375" customWidth="1"/>
    <col min="3580" max="3580" width="9.85546875" customWidth="1"/>
    <col min="3581" max="3581" width="11.140625" customWidth="1"/>
    <col min="3582" max="3582" width="9.85546875" customWidth="1"/>
    <col min="3583" max="3583" width="11.140625" customWidth="1"/>
    <col min="3584" max="3584" width="9.85546875" customWidth="1"/>
    <col min="3585" max="3585" width="7.5703125" customWidth="1"/>
    <col min="3586" max="3588" width="8" customWidth="1"/>
    <col min="3589" max="3589" width="12.28515625" customWidth="1"/>
    <col min="3590" max="3590" width="8.140625" customWidth="1"/>
    <col min="3591" max="3591" width="8" customWidth="1"/>
    <col min="3592" max="3592" width="7.5703125" bestFit="1" customWidth="1"/>
    <col min="3593" max="3593" width="8" bestFit="1" customWidth="1"/>
    <col min="3594" max="3594" width="13.5703125" customWidth="1"/>
    <col min="3834" max="3834" width="46.7109375" customWidth="1"/>
    <col min="3835" max="3835" width="10.7109375" customWidth="1"/>
    <col min="3836" max="3836" width="9.85546875" customWidth="1"/>
    <col min="3837" max="3837" width="11.140625" customWidth="1"/>
    <col min="3838" max="3838" width="9.85546875" customWidth="1"/>
    <col min="3839" max="3839" width="11.140625" customWidth="1"/>
    <col min="3840" max="3840" width="9.85546875" customWidth="1"/>
    <col min="3841" max="3841" width="7.5703125" customWidth="1"/>
    <col min="3842" max="3844" width="8" customWidth="1"/>
    <col min="3845" max="3845" width="12.28515625" customWidth="1"/>
    <col min="3846" max="3846" width="8.140625" customWidth="1"/>
    <col min="3847" max="3847" width="8" customWidth="1"/>
    <col min="3848" max="3848" width="7.5703125" bestFit="1" customWidth="1"/>
    <col min="3849" max="3849" width="8" bestFit="1" customWidth="1"/>
    <col min="3850" max="3850" width="13.5703125" customWidth="1"/>
    <col min="4090" max="4090" width="46.7109375" customWidth="1"/>
    <col min="4091" max="4091" width="10.7109375" customWidth="1"/>
    <col min="4092" max="4092" width="9.85546875" customWidth="1"/>
    <col min="4093" max="4093" width="11.140625" customWidth="1"/>
    <col min="4094" max="4094" width="9.85546875" customWidth="1"/>
    <col min="4095" max="4095" width="11.140625" customWidth="1"/>
    <col min="4096" max="4096" width="9.85546875" customWidth="1"/>
    <col min="4097" max="4097" width="7.5703125" customWidth="1"/>
    <col min="4098" max="4100" width="8" customWidth="1"/>
    <col min="4101" max="4101" width="12.28515625" customWidth="1"/>
    <col min="4102" max="4102" width="8.140625" customWidth="1"/>
    <col min="4103" max="4103" width="8" customWidth="1"/>
    <col min="4104" max="4104" width="7.5703125" bestFit="1" customWidth="1"/>
    <col min="4105" max="4105" width="8" bestFit="1" customWidth="1"/>
    <col min="4106" max="4106" width="13.5703125" customWidth="1"/>
    <col min="4346" max="4346" width="46.7109375" customWidth="1"/>
    <col min="4347" max="4347" width="10.7109375" customWidth="1"/>
    <col min="4348" max="4348" width="9.85546875" customWidth="1"/>
    <col min="4349" max="4349" width="11.140625" customWidth="1"/>
    <col min="4350" max="4350" width="9.85546875" customWidth="1"/>
    <col min="4351" max="4351" width="11.140625" customWidth="1"/>
    <col min="4352" max="4352" width="9.85546875" customWidth="1"/>
    <col min="4353" max="4353" width="7.5703125" customWidth="1"/>
    <col min="4354" max="4356" width="8" customWidth="1"/>
    <col min="4357" max="4357" width="12.28515625" customWidth="1"/>
    <col min="4358" max="4358" width="8.140625" customWidth="1"/>
    <col min="4359" max="4359" width="8" customWidth="1"/>
    <col min="4360" max="4360" width="7.5703125" bestFit="1" customWidth="1"/>
    <col min="4361" max="4361" width="8" bestFit="1" customWidth="1"/>
    <col min="4362" max="4362" width="13.5703125" customWidth="1"/>
    <col min="4602" max="4602" width="46.7109375" customWidth="1"/>
    <col min="4603" max="4603" width="10.7109375" customWidth="1"/>
    <col min="4604" max="4604" width="9.85546875" customWidth="1"/>
    <col min="4605" max="4605" width="11.140625" customWidth="1"/>
    <col min="4606" max="4606" width="9.85546875" customWidth="1"/>
    <col min="4607" max="4607" width="11.140625" customWidth="1"/>
    <col min="4608" max="4608" width="9.85546875" customWidth="1"/>
    <col min="4609" max="4609" width="7.5703125" customWidth="1"/>
    <col min="4610" max="4612" width="8" customWidth="1"/>
    <col min="4613" max="4613" width="12.28515625" customWidth="1"/>
    <col min="4614" max="4614" width="8.140625" customWidth="1"/>
    <col min="4615" max="4615" width="8" customWidth="1"/>
    <col min="4616" max="4616" width="7.5703125" bestFit="1" customWidth="1"/>
    <col min="4617" max="4617" width="8" bestFit="1" customWidth="1"/>
    <col min="4618" max="4618" width="13.5703125" customWidth="1"/>
    <col min="4858" max="4858" width="46.7109375" customWidth="1"/>
    <col min="4859" max="4859" width="10.7109375" customWidth="1"/>
    <col min="4860" max="4860" width="9.85546875" customWidth="1"/>
    <col min="4861" max="4861" width="11.140625" customWidth="1"/>
    <col min="4862" max="4862" width="9.85546875" customWidth="1"/>
    <col min="4863" max="4863" width="11.140625" customWidth="1"/>
    <col min="4864" max="4864" width="9.85546875" customWidth="1"/>
    <col min="4865" max="4865" width="7.5703125" customWidth="1"/>
    <col min="4866" max="4868" width="8" customWidth="1"/>
    <col min="4869" max="4869" width="12.28515625" customWidth="1"/>
    <col min="4870" max="4870" width="8.140625" customWidth="1"/>
    <col min="4871" max="4871" width="8" customWidth="1"/>
    <col min="4872" max="4872" width="7.5703125" bestFit="1" customWidth="1"/>
    <col min="4873" max="4873" width="8" bestFit="1" customWidth="1"/>
    <col min="4874" max="4874" width="13.5703125" customWidth="1"/>
    <col min="5114" max="5114" width="46.7109375" customWidth="1"/>
    <col min="5115" max="5115" width="10.7109375" customWidth="1"/>
    <col min="5116" max="5116" width="9.85546875" customWidth="1"/>
    <col min="5117" max="5117" width="11.140625" customWidth="1"/>
    <col min="5118" max="5118" width="9.85546875" customWidth="1"/>
    <col min="5119" max="5119" width="11.140625" customWidth="1"/>
    <col min="5120" max="5120" width="9.85546875" customWidth="1"/>
    <col min="5121" max="5121" width="7.5703125" customWidth="1"/>
    <col min="5122" max="5124" width="8" customWidth="1"/>
    <col min="5125" max="5125" width="12.28515625" customWidth="1"/>
    <col min="5126" max="5126" width="8.140625" customWidth="1"/>
    <col min="5127" max="5127" width="8" customWidth="1"/>
    <col min="5128" max="5128" width="7.5703125" bestFit="1" customWidth="1"/>
    <col min="5129" max="5129" width="8" bestFit="1" customWidth="1"/>
    <col min="5130" max="5130" width="13.5703125" customWidth="1"/>
    <col min="5370" max="5370" width="46.7109375" customWidth="1"/>
    <col min="5371" max="5371" width="10.7109375" customWidth="1"/>
    <col min="5372" max="5372" width="9.85546875" customWidth="1"/>
    <col min="5373" max="5373" width="11.140625" customWidth="1"/>
    <col min="5374" max="5374" width="9.85546875" customWidth="1"/>
    <col min="5375" max="5375" width="11.140625" customWidth="1"/>
    <col min="5376" max="5376" width="9.85546875" customWidth="1"/>
    <col min="5377" max="5377" width="7.5703125" customWidth="1"/>
    <col min="5378" max="5380" width="8" customWidth="1"/>
    <col min="5381" max="5381" width="12.28515625" customWidth="1"/>
    <col min="5382" max="5382" width="8.140625" customWidth="1"/>
    <col min="5383" max="5383" width="8" customWidth="1"/>
    <col min="5384" max="5384" width="7.5703125" bestFit="1" customWidth="1"/>
    <col min="5385" max="5385" width="8" bestFit="1" customWidth="1"/>
    <col min="5386" max="5386" width="13.5703125" customWidth="1"/>
    <col min="5626" max="5626" width="46.7109375" customWidth="1"/>
    <col min="5627" max="5627" width="10.7109375" customWidth="1"/>
    <col min="5628" max="5628" width="9.85546875" customWidth="1"/>
    <col min="5629" max="5629" width="11.140625" customWidth="1"/>
    <col min="5630" max="5630" width="9.85546875" customWidth="1"/>
    <col min="5631" max="5631" width="11.140625" customWidth="1"/>
    <col min="5632" max="5632" width="9.85546875" customWidth="1"/>
    <col min="5633" max="5633" width="7.5703125" customWidth="1"/>
    <col min="5634" max="5636" width="8" customWidth="1"/>
    <col min="5637" max="5637" width="12.28515625" customWidth="1"/>
    <col min="5638" max="5638" width="8.140625" customWidth="1"/>
    <col min="5639" max="5639" width="8" customWidth="1"/>
    <col min="5640" max="5640" width="7.5703125" bestFit="1" customWidth="1"/>
    <col min="5641" max="5641" width="8" bestFit="1" customWidth="1"/>
    <col min="5642" max="5642" width="13.5703125" customWidth="1"/>
    <col min="5882" max="5882" width="46.7109375" customWidth="1"/>
    <col min="5883" max="5883" width="10.7109375" customWidth="1"/>
    <col min="5884" max="5884" width="9.85546875" customWidth="1"/>
    <col min="5885" max="5885" width="11.140625" customWidth="1"/>
    <col min="5886" max="5886" width="9.85546875" customWidth="1"/>
    <col min="5887" max="5887" width="11.140625" customWidth="1"/>
    <col min="5888" max="5888" width="9.85546875" customWidth="1"/>
    <col min="5889" max="5889" width="7.5703125" customWidth="1"/>
    <col min="5890" max="5892" width="8" customWidth="1"/>
    <col min="5893" max="5893" width="12.28515625" customWidth="1"/>
    <col min="5894" max="5894" width="8.140625" customWidth="1"/>
    <col min="5895" max="5895" width="8" customWidth="1"/>
    <col min="5896" max="5896" width="7.5703125" bestFit="1" customWidth="1"/>
    <col min="5897" max="5897" width="8" bestFit="1" customWidth="1"/>
    <col min="5898" max="5898" width="13.5703125" customWidth="1"/>
    <col min="6138" max="6138" width="46.7109375" customWidth="1"/>
    <col min="6139" max="6139" width="10.7109375" customWidth="1"/>
    <col min="6140" max="6140" width="9.85546875" customWidth="1"/>
    <col min="6141" max="6141" width="11.140625" customWidth="1"/>
    <col min="6142" max="6142" width="9.85546875" customWidth="1"/>
    <col min="6143" max="6143" width="11.140625" customWidth="1"/>
    <col min="6144" max="6144" width="9.85546875" customWidth="1"/>
    <col min="6145" max="6145" width="7.5703125" customWidth="1"/>
    <col min="6146" max="6148" width="8" customWidth="1"/>
    <col min="6149" max="6149" width="12.28515625" customWidth="1"/>
    <col min="6150" max="6150" width="8.140625" customWidth="1"/>
    <col min="6151" max="6151" width="8" customWidth="1"/>
    <col min="6152" max="6152" width="7.5703125" bestFit="1" customWidth="1"/>
    <col min="6153" max="6153" width="8" bestFit="1" customWidth="1"/>
    <col min="6154" max="6154" width="13.5703125" customWidth="1"/>
    <col min="6394" max="6394" width="46.7109375" customWidth="1"/>
    <col min="6395" max="6395" width="10.7109375" customWidth="1"/>
    <col min="6396" max="6396" width="9.85546875" customWidth="1"/>
    <col min="6397" max="6397" width="11.140625" customWidth="1"/>
    <col min="6398" max="6398" width="9.85546875" customWidth="1"/>
    <col min="6399" max="6399" width="11.140625" customWidth="1"/>
    <col min="6400" max="6400" width="9.85546875" customWidth="1"/>
    <col min="6401" max="6401" width="7.5703125" customWidth="1"/>
    <col min="6402" max="6404" width="8" customWidth="1"/>
    <col min="6405" max="6405" width="12.28515625" customWidth="1"/>
    <col min="6406" max="6406" width="8.140625" customWidth="1"/>
    <col min="6407" max="6407" width="8" customWidth="1"/>
    <col min="6408" max="6408" width="7.5703125" bestFit="1" customWidth="1"/>
    <col min="6409" max="6409" width="8" bestFit="1" customWidth="1"/>
    <col min="6410" max="6410" width="13.5703125" customWidth="1"/>
    <col min="6650" max="6650" width="46.7109375" customWidth="1"/>
    <col min="6651" max="6651" width="10.7109375" customWidth="1"/>
    <col min="6652" max="6652" width="9.85546875" customWidth="1"/>
    <col min="6653" max="6653" width="11.140625" customWidth="1"/>
    <col min="6654" max="6654" width="9.85546875" customWidth="1"/>
    <col min="6655" max="6655" width="11.140625" customWidth="1"/>
    <col min="6656" max="6656" width="9.85546875" customWidth="1"/>
    <col min="6657" max="6657" width="7.5703125" customWidth="1"/>
    <col min="6658" max="6660" width="8" customWidth="1"/>
    <col min="6661" max="6661" width="12.28515625" customWidth="1"/>
    <col min="6662" max="6662" width="8.140625" customWidth="1"/>
    <col min="6663" max="6663" width="8" customWidth="1"/>
    <col min="6664" max="6664" width="7.5703125" bestFit="1" customWidth="1"/>
    <col min="6665" max="6665" width="8" bestFit="1" customWidth="1"/>
    <col min="6666" max="6666" width="13.5703125" customWidth="1"/>
    <col min="6906" max="6906" width="46.7109375" customWidth="1"/>
    <col min="6907" max="6907" width="10.7109375" customWidth="1"/>
    <col min="6908" max="6908" width="9.85546875" customWidth="1"/>
    <col min="6909" max="6909" width="11.140625" customWidth="1"/>
    <col min="6910" max="6910" width="9.85546875" customWidth="1"/>
    <col min="6911" max="6911" width="11.140625" customWidth="1"/>
    <col min="6912" max="6912" width="9.85546875" customWidth="1"/>
    <col min="6913" max="6913" width="7.5703125" customWidth="1"/>
    <col min="6914" max="6916" width="8" customWidth="1"/>
    <col min="6917" max="6917" width="12.28515625" customWidth="1"/>
    <col min="6918" max="6918" width="8.140625" customWidth="1"/>
    <col min="6919" max="6919" width="8" customWidth="1"/>
    <col min="6920" max="6920" width="7.5703125" bestFit="1" customWidth="1"/>
    <col min="6921" max="6921" width="8" bestFit="1" customWidth="1"/>
    <col min="6922" max="6922" width="13.5703125" customWidth="1"/>
    <col min="7162" max="7162" width="46.7109375" customWidth="1"/>
    <col min="7163" max="7163" width="10.7109375" customWidth="1"/>
    <col min="7164" max="7164" width="9.85546875" customWidth="1"/>
    <col min="7165" max="7165" width="11.140625" customWidth="1"/>
    <col min="7166" max="7166" width="9.85546875" customWidth="1"/>
    <col min="7167" max="7167" width="11.140625" customWidth="1"/>
    <col min="7168" max="7168" width="9.85546875" customWidth="1"/>
    <col min="7169" max="7169" width="7.5703125" customWidth="1"/>
    <col min="7170" max="7172" width="8" customWidth="1"/>
    <col min="7173" max="7173" width="12.28515625" customWidth="1"/>
    <col min="7174" max="7174" width="8.140625" customWidth="1"/>
    <col min="7175" max="7175" width="8" customWidth="1"/>
    <col min="7176" max="7176" width="7.5703125" bestFit="1" customWidth="1"/>
    <col min="7177" max="7177" width="8" bestFit="1" customWidth="1"/>
    <col min="7178" max="7178" width="13.5703125" customWidth="1"/>
    <col min="7418" max="7418" width="46.7109375" customWidth="1"/>
    <col min="7419" max="7419" width="10.7109375" customWidth="1"/>
    <col min="7420" max="7420" width="9.85546875" customWidth="1"/>
    <col min="7421" max="7421" width="11.140625" customWidth="1"/>
    <col min="7422" max="7422" width="9.85546875" customWidth="1"/>
    <col min="7423" max="7423" width="11.140625" customWidth="1"/>
    <col min="7424" max="7424" width="9.85546875" customWidth="1"/>
    <col min="7425" max="7425" width="7.5703125" customWidth="1"/>
    <col min="7426" max="7428" width="8" customWidth="1"/>
    <col min="7429" max="7429" width="12.28515625" customWidth="1"/>
    <col min="7430" max="7430" width="8.140625" customWidth="1"/>
    <col min="7431" max="7431" width="8" customWidth="1"/>
    <col min="7432" max="7432" width="7.5703125" bestFit="1" customWidth="1"/>
    <col min="7433" max="7433" width="8" bestFit="1" customWidth="1"/>
    <col min="7434" max="7434" width="13.5703125" customWidth="1"/>
    <col min="7674" max="7674" width="46.7109375" customWidth="1"/>
    <col min="7675" max="7675" width="10.7109375" customWidth="1"/>
    <col min="7676" max="7676" width="9.85546875" customWidth="1"/>
    <col min="7677" max="7677" width="11.140625" customWidth="1"/>
    <col min="7678" max="7678" width="9.85546875" customWidth="1"/>
    <col min="7679" max="7679" width="11.140625" customWidth="1"/>
    <col min="7680" max="7680" width="9.85546875" customWidth="1"/>
    <col min="7681" max="7681" width="7.5703125" customWidth="1"/>
    <col min="7682" max="7684" width="8" customWidth="1"/>
    <col min="7685" max="7685" width="12.28515625" customWidth="1"/>
    <col min="7686" max="7686" width="8.140625" customWidth="1"/>
    <col min="7687" max="7687" width="8" customWidth="1"/>
    <col min="7688" max="7688" width="7.5703125" bestFit="1" customWidth="1"/>
    <col min="7689" max="7689" width="8" bestFit="1" customWidth="1"/>
    <col min="7690" max="7690" width="13.5703125" customWidth="1"/>
    <col min="7930" max="7930" width="46.7109375" customWidth="1"/>
    <col min="7931" max="7931" width="10.7109375" customWidth="1"/>
    <col min="7932" max="7932" width="9.85546875" customWidth="1"/>
    <col min="7933" max="7933" width="11.140625" customWidth="1"/>
    <col min="7934" max="7934" width="9.85546875" customWidth="1"/>
    <col min="7935" max="7935" width="11.140625" customWidth="1"/>
    <col min="7936" max="7936" width="9.85546875" customWidth="1"/>
    <col min="7937" max="7937" width="7.5703125" customWidth="1"/>
    <col min="7938" max="7940" width="8" customWidth="1"/>
    <col min="7941" max="7941" width="12.28515625" customWidth="1"/>
    <col min="7942" max="7942" width="8.140625" customWidth="1"/>
    <col min="7943" max="7943" width="8" customWidth="1"/>
    <col min="7944" max="7944" width="7.5703125" bestFit="1" customWidth="1"/>
    <col min="7945" max="7945" width="8" bestFit="1" customWidth="1"/>
    <col min="7946" max="7946" width="13.5703125" customWidth="1"/>
    <col min="8186" max="8186" width="46.7109375" customWidth="1"/>
    <col min="8187" max="8187" width="10.7109375" customWidth="1"/>
    <col min="8188" max="8188" width="9.85546875" customWidth="1"/>
    <col min="8189" max="8189" width="11.140625" customWidth="1"/>
    <col min="8190" max="8190" width="9.85546875" customWidth="1"/>
    <col min="8191" max="8191" width="11.140625" customWidth="1"/>
    <col min="8192" max="8192" width="9.85546875" customWidth="1"/>
    <col min="8193" max="8193" width="7.5703125" customWidth="1"/>
    <col min="8194" max="8196" width="8" customWidth="1"/>
    <col min="8197" max="8197" width="12.28515625" customWidth="1"/>
    <col min="8198" max="8198" width="8.140625" customWidth="1"/>
    <col min="8199" max="8199" width="8" customWidth="1"/>
    <col min="8200" max="8200" width="7.5703125" bestFit="1" customWidth="1"/>
    <col min="8201" max="8201" width="8" bestFit="1" customWidth="1"/>
    <col min="8202" max="8202" width="13.5703125" customWidth="1"/>
    <col min="8442" max="8442" width="46.7109375" customWidth="1"/>
    <col min="8443" max="8443" width="10.7109375" customWidth="1"/>
    <col min="8444" max="8444" width="9.85546875" customWidth="1"/>
    <col min="8445" max="8445" width="11.140625" customWidth="1"/>
    <col min="8446" max="8446" width="9.85546875" customWidth="1"/>
    <col min="8447" max="8447" width="11.140625" customWidth="1"/>
    <col min="8448" max="8448" width="9.85546875" customWidth="1"/>
    <col min="8449" max="8449" width="7.5703125" customWidth="1"/>
    <col min="8450" max="8452" width="8" customWidth="1"/>
    <col min="8453" max="8453" width="12.28515625" customWidth="1"/>
    <col min="8454" max="8454" width="8.140625" customWidth="1"/>
    <col min="8455" max="8455" width="8" customWidth="1"/>
    <col min="8456" max="8456" width="7.5703125" bestFit="1" customWidth="1"/>
    <col min="8457" max="8457" width="8" bestFit="1" customWidth="1"/>
    <col min="8458" max="8458" width="13.5703125" customWidth="1"/>
    <col min="8698" max="8698" width="46.7109375" customWidth="1"/>
    <col min="8699" max="8699" width="10.7109375" customWidth="1"/>
    <col min="8700" max="8700" width="9.85546875" customWidth="1"/>
    <col min="8701" max="8701" width="11.140625" customWidth="1"/>
    <col min="8702" max="8702" width="9.85546875" customWidth="1"/>
    <col min="8703" max="8703" width="11.140625" customWidth="1"/>
    <col min="8704" max="8704" width="9.85546875" customWidth="1"/>
    <col min="8705" max="8705" width="7.5703125" customWidth="1"/>
    <col min="8706" max="8708" width="8" customWidth="1"/>
    <col min="8709" max="8709" width="12.28515625" customWidth="1"/>
    <col min="8710" max="8710" width="8.140625" customWidth="1"/>
    <col min="8711" max="8711" width="8" customWidth="1"/>
    <col min="8712" max="8712" width="7.5703125" bestFit="1" customWidth="1"/>
    <col min="8713" max="8713" width="8" bestFit="1" customWidth="1"/>
    <col min="8714" max="8714" width="13.5703125" customWidth="1"/>
    <col min="8954" max="8954" width="46.7109375" customWidth="1"/>
    <col min="8955" max="8955" width="10.7109375" customWidth="1"/>
    <col min="8956" max="8956" width="9.85546875" customWidth="1"/>
    <col min="8957" max="8957" width="11.140625" customWidth="1"/>
    <col min="8958" max="8958" width="9.85546875" customWidth="1"/>
    <col min="8959" max="8959" width="11.140625" customWidth="1"/>
    <col min="8960" max="8960" width="9.85546875" customWidth="1"/>
    <col min="8961" max="8961" width="7.5703125" customWidth="1"/>
    <col min="8962" max="8964" width="8" customWidth="1"/>
    <col min="8965" max="8965" width="12.28515625" customWidth="1"/>
    <col min="8966" max="8966" width="8.140625" customWidth="1"/>
    <col min="8967" max="8967" width="8" customWidth="1"/>
    <col min="8968" max="8968" width="7.5703125" bestFit="1" customWidth="1"/>
    <col min="8969" max="8969" width="8" bestFit="1" customWidth="1"/>
    <col min="8970" max="8970" width="13.5703125" customWidth="1"/>
    <col min="9210" max="9210" width="46.7109375" customWidth="1"/>
    <col min="9211" max="9211" width="10.7109375" customWidth="1"/>
    <col min="9212" max="9212" width="9.85546875" customWidth="1"/>
    <col min="9213" max="9213" width="11.140625" customWidth="1"/>
    <col min="9214" max="9214" width="9.85546875" customWidth="1"/>
    <col min="9215" max="9215" width="11.140625" customWidth="1"/>
    <col min="9216" max="9216" width="9.85546875" customWidth="1"/>
    <col min="9217" max="9217" width="7.5703125" customWidth="1"/>
    <col min="9218" max="9220" width="8" customWidth="1"/>
    <col min="9221" max="9221" width="12.28515625" customWidth="1"/>
    <col min="9222" max="9222" width="8.140625" customWidth="1"/>
    <col min="9223" max="9223" width="8" customWidth="1"/>
    <col min="9224" max="9224" width="7.5703125" bestFit="1" customWidth="1"/>
    <col min="9225" max="9225" width="8" bestFit="1" customWidth="1"/>
    <col min="9226" max="9226" width="13.5703125" customWidth="1"/>
    <col min="9466" max="9466" width="46.7109375" customWidth="1"/>
    <col min="9467" max="9467" width="10.7109375" customWidth="1"/>
    <col min="9468" max="9468" width="9.85546875" customWidth="1"/>
    <col min="9469" max="9469" width="11.140625" customWidth="1"/>
    <col min="9470" max="9470" width="9.85546875" customWidth="1"/>
    <col min="9471" max="9471" width="11.140625" customWidth="1"/>
    <col min="9472" max="9472" width="9.85546875" customWidth="1"/>
    <col min="9473" max="9473" width="7.5703125" customWidth="1"/>
    <col min="9474" max="9476" width="8" customWidth="1"/>
    <col min="9477" max="9477" width="12.28515625" customWidth="1"/>
    <col min="9478" max="9478" width="8.140625" customWidth="1"/>
    <col min="9479" max="9479" width="8" customWidth="1"/>
    <col min="9480" max="9480" width="7.5703125" bestFit="1" customWidth="1"/>
    <col min="9481" max="9481" width="8" bestFit="1" customWidth="1"/>
    <col min="9482" max="9482" width="13.5703125" customWidth="1"/>
    <col min="9722" max="9722" width="46.7109375" customWidth="1"/>
    <col min="9723" max="9723" width="10.7109375" customWidth="1"/>
    <col min="9724" max="9724" width="9.85546875" customWidth="1"/>
    <col min="9725" max="9725" width="11.140625" customWidth="1"/>
    <col min="9726" max="9726" width="9.85546875" customWidth="1"/>
    <col min="9727" max="9727" width="11.140625" customWidth="1"/>
    <col min="9728" max="9728" width="9.85546875" customWidth="1"/>
    <col min="9729" max="9729" width="7.5703125" customWidth="1"/>
    <col min="9730" max="9732" width="8" customWidth="1"/>
    <col min="9733" max="9733" width="12.28515625" customWidth="1"/>
    <col min="9734" max="9734" width="8.140625" customWidth="1"/>
    <col min="9735" max="9735" width="8" customWidth="1"/>
    <col min="9736" max="9736" width="7.5703125" bestFit="1" customWidth="1"/>
    <col min="9737" max="9737" width="8" bestFit="1" customWidth="1"/>
    <col min="9738" max="9738" width="13.5703125" customWidth="1"/>
    <col min="9978" max="9978" width="46.7109375" customWidth="1"/>
    <col min="9979" max="9979" width="10.7109375" customWidth="1"/>
    <col min="9980" max="9980" width="9.85546875" customWidth="1"/>
    <col min="9981" max="9981" width="11.140625" customWidth="1"/>
    <col min="9982" max="9982" width="9.85546875" customWidth="1"/>
    <col min="9983" max="9983" width="11.140625" customWidth="1"/>
    <col min="9984" max="9984" width="9.85546875" customWidth="1"/>
    <col min="9985" max="9985" width="7.5703125" customWidth="1"/>
    <col min="9986" max="9988" width="8" customWidth="1"/>
    <col min="9989" max="9989" width="12.28515625" customWidth="1"/>
    <col min="9990" max="9990" width="8.140625" customWidth="1"/>
    <col min="9991" max="9991" width="8" customWidth="1"/>
    <col min="9992" max="9992" width="7.5703125" bestFit="1" customWidth="1"/>
    <col min="9993" max="9993" width="8" bestFit="1" customWidth="1"/>
    <col min="9994" max="9994" width="13.5703125" customWidth="1"/>
    <col min="10234" max="10234" width="46.7109375" customWidth="1"/>
    <col min="10235" max="10235" width="10.7109375" customWidth="1"/>
    <col min="10236" max="10236" width="9.85546875" customWidth="1"/>
    <col min="10237" max="10237" width="11.140625" customWidth="1"/>
    <col min="10238" max="10238" width="9.85546875" customWidth="1"/>
    <col min="10239" max="10239" width="11.140625" customWidth="1"/>
    <col min="10240" max="10240" width="9.85546875" customWidth="1"/>
    <col min="10241" max="10241" width="7.5703125" customWidth="1"/>
    <col min="10242" max="10244" width="8" customWidth="1"/>
    <col min="10245" max="10245" width="12.28515625" customWidth="1"/>
    <col min="10246" max="10246" width="8.140625" customWidth="1"/>
    <col min="10247" max="10247" width="8" customWidth="1"/>
    <col min="10248" max="10248" width="7.5703125" bestFit="1" customWidth="1"/>
    <col min="10249" max="10249" width="8" bestFit="1" customWidth="1"/>
    <col min="10250" max="10250" width="13.5703125" customWidth="1"/>
    <col min="10490" max="10490" width="46.7109375" customWidth="1"/>
    <col min="10491" max="10491" width="10.7109375" customWidth="1"/>
    <col min="10492" max="10492" width="9.85546875" customWidth="1"/>
    <col min="10493" max="10493" width="11.140625" customWidth="1"/>
    <col min="10494" max="10494" width="9.85546875" customWidth="1"/>
    <col min="10495" max="10495" width="11.140625" customWidth="1"/>
    <col min="10496" max="10496" width="9.85546875" customWidth="1"/>
    <col min="10497" max="10497" width="7.5703125" customWidth="1"/>
    <col min="10498" max="10500" width="8" customWidth="1"/>
    <col min="10501" max="10501" width="12.28515625" customWidth="1"/>
    <col min="10502" max="10502" width="8.140625" customWidth="1"/>
    <col min="10503" max="10503" width="8" customWidth="1"/>
    <col min="10504" max="10504" width="7.5703125" bestFit="1" customWidth="1"/>
    <col min="10505" max="10505" width="8" bestFit="1" customWidth="1"/>
    <col min="10506" max="10506" width="13.5703125" customWidth="1"/>
    <col min="10746" max="10746" width="46.7109375" customWidth="1"/>
    <col min="10747" max="10747" width="10.7109375" customWidth="1"/>
    <col min="10748" max="10748" width="9.85546875" customWidth="1"/>
    <col min="10749" max="10749" width="11.140625" customWidth="1"/>
    <col min="10750" max="10750" width="9.85546875" customWidth="1"/>
    <col min="10751" max="10751" width="11.140625" customWidth="1"/>
    <col min="10752" max="10752" width="9.85546875" customWidth="1"/>
    <col min="10753" max="10753" width="7.5703125" customWidth="1"/>
    <col min="10754" max="10756" width="8" customWidth="1"/>
    <col min="10757" max="10757" width="12.28515625" customWidth="1"/>
    <col min="10758" max="10758" width="8.140625" customWidth="1"/>
    <col min="10759" max="10759" width="8" customWidth="1"/>
    <col min="10760" max="10760" width="7.5703125" bestFit="1" customWidth="1"/>
    <col min="10761" max="10761" width="8" bestFit="1" customWidth="1"/>
    <col min="10762" max="10762" width="13.5703125" customWidth="1"/>
    <col min="11002" max="11002" width="46.7109375" customWidth="1"/>
    <col min="11003" max="11003" width="10.7109375" customWidth="1"/>
    <col min="11004" max="11004" width="9.85546875" customWidth="1"/>
    <col min="11005" max="11005" width="11.140625" customWidth="1"/>
    <col min="11006" max="11006" width="9.85546875" customWidth="1"/>
    <col min="11007" max="11007" width="11.140625" customWidth="1"/>
    <col min="11008" max="11008" width="9.85546875" customWidth="1"/>
    <col min="11009" max="11009" width="7.5703125" customWidth="1"/>
    <col min="11010" max="11012" width="8" customWidth="1"/>
    <col min="11013" max="11013" width="12.28515625" customWidth="1"/>
    <col min="11014" max="11014" width="8.140625" customWidth="1"/>
    <col min="11015" max="11015" width="8" customWidth="1"/>
    <col min="11016" max="11016" width="7.5703125" bestFit="1" customWidth="1"/>
    <col min="11017" max="11017" width="8" bestFit="1" customWidth="1"/>
    <col min="11018" max="11018" width="13.5703125" customWidth="1"/>
    <col min="11258" max="11258" width="46.7109375" customWidth="1"/>
    <col min="11259" max="11259" width="10.7109375" customWidth="1"/>
    <col min="11260" max="11260" width="9.85546875" customWidth="1"/>
    <col min="11261" max="11261" width="11.140625" customWidth="1"/>
    <col min="11262" max="11262" width="9.85546875" customWidth="1"/>
    <col min="11263" max="11263" width="11.140625" customWidth="1"/>
    <col min="11264" max="11264" width="9.85546875" customWidth="1"/>
    <col min="11265" max="11265" width="7.5703125" customWidth="1"/>
    <col min="11266" max="11268" width="8" customWidth="1"/>
    <col min="11269" max="11269" width="12.28515625" customWidth="1"/>
    <col min="11270" max="11270" width="8.140625" customWidth="1"/>
    <col min="11271" max="11271" width="8" customWidth="1"/>
    <col min="11272" max="11272" width="7.5703125" bestFit="1" customWidth="1"/>
    <col min="11273" max="11273" width="8" bestFit="1" customWidth="1"/>
    <col min="11274" max="11274" width="13.5703125" customWidth="1"/>
    <col min="11514" max="11514" width="46.7109375" customWidth="1"/>
    <col min="11515" max="11515" width="10.7109375" customWidth="1"/>
    <col min="11516" max="11516" width="9.85546875" customWidth="1"/>
    <col min="11517" max="11517" width="11.140625" customWidth="1"/>
    <col min="11518" max="11518" width="9.85546875" customWidth="1"/>
    <col min="11519" max="11519" width="11.140625" customWidth="1"/>
    <col min="11520" max="11520" width="9.85546875" customWidth="1"/>
    <col min="11521" max="11521" width="7.5703125" customWidth="1"/>
    <col min="11522" max="11524" width="8" customWidth="1"/>
    <col min="11525" max="11525" width="12.28515625" customWidth="1"/>
    <col min="11526" max="11526" width="8.140625" customWidth="1"/>
    <col min="11527" max="11527" width="8" customWidth="1"/>
    <col min="11528" max="11528" width="7.5703125" bestFit="1" customWidth="1"/>
    <col min="11529" max="11529" width="8" bestFit="1" customWidth="1"/>
    <col min="11530" max="11530" width="13.5703125" customWidth="1"/>
    <col min="11770" max="11770" width="46.7109375" customWidth="1"/>
    <col min="11771" max="11771" width="10.7109375" customWidth="1"/>
    <col min="11772" max="11772" width="9.85546875" customWidth="1"/>
    <col min="11773" max="11773" width="11.140625" customWidth="1"/>
    <col min="11774" max="11774" width="9.85546875" customWidth="1"/>
    <col min="11775" max="11775" width="11.140625" customWidth="1"/>
    <col min="11776" max="11776" width="9.85546875" customWidth="1"/>
    <col min="11777" max="11777" width="7.5703125" customWidth="1"/>
    <col min="11778" max="11780" width="8" customWidth="1"/>
    <col min="11781" max="11781" width="12.28515625" customWidth="1"/>
    <col min="11782" max="11782" width="8.140625" customWidth="1"/>
    <col min="11783" max="11783" width="8" customWidth="1"/>
    <col min="11784" max="11784" width="7.5703125" bestFit="1" customWidth="1"/>
    <col min="11785" max="11785" width="8" bestFit="1" customWidth="1"/>
    <col min="11786" max="11786" width="13.5703125" customWidth="1"/>
    <col min="12026" max="12026" width="46.7109375" customWidth="1"/>
    <col min="12027" max="12027" width="10.7109375" customWidth="1"/>
    <col min="12028" max="12028" width="9.85546875" customWidth="1"/>
    <col min="12029" max="12029" width="11.140625" customWidth="1"/>
    <col min="12030" max="12030" width="9.85546875" customWidth="1"/>
    <col min="12031" max="12031" width="11.140625" customWidth="1"/>
    <col min="12032" max="12032" width="9.85546875" customWidth="1"/>
    <col min="12033" max="12033" width="7.5703125" customWidth="1"/>
    <col min="12034" max="12036" width="8" customWidth="1"/>
    <col min="12037" max="12037" width="12.28515625" customWidth="1"/>
    <col min="12038" max="12038" width="8.140625" customWidth="1"/>
    <col min="12039" max="12039" width="8" customWidth="1"/>
    <col min="12040" max="12040" width="7.5703125" bestFit="1" customWidth="1"/>
    <col min="12041" max="12041" width="8" bestFit="1" customWidth="1"/>
    <col min="12042" max="12042" width="13.5703125" customWidth="1"/>
    <col min="12282" max="12282" width="46.7109375" customWidth="1"/>
    <col min="12283" max="12283" width="10.7109375" customWidth="1"/>
    <col min="12284" max="12284" width="9.85546875" customWidth="1"/>
    <col min="12285" max="12285" width="11.140625" customWidth="1"/>
    <col min="12286" max="12286" width="9.85546875" customWidth="1"/>
    <col min="12287" max="12287" width="11.140625" customWidth="1"/>
    <col min="12288" max="12288" width="9.85546875" customWidth="1"/>
    <col min="12289" max="12289" width="7.5703125" customWidth="1"/>
    <col min="12290" max="12292" width="8" customWidth="1"/>
    <col min="12293" max="12293" width="12.28515625" customWidth="1"/>
    <col min="12294" max="12294" width="8.140625" customWidth="1"/>
    <col min="12295" max="12295" width="8" customWidth="1"/>
    <col min="12296" max="12296" width="7.5703125" bestFit="1" customWidth="1"/>
    <col min="12297" max="12297" width="8" bestFit="1" customWidth="1"/>
    <col min="12298" max="12298" width="13.5703125" customWidth="1"/>
    <col min="12538" max="12538" width="46.7109375" customWidth="1"/>
    <col min="12539" max="12539" width="10.7109375" customWidth="1"/>
    <col min="12540" max="12540" width="9.85546875" customWidth="1"/>
    <col min="12541" max="12541" width="11.140625" customWidth="1"/>
    <col min="12542" max="12542" width="9.85546875" customWidth="1"/>
    <col min="12543" max="12543" width="11.140625" customWidth="1"/>
    <col min="12544" max="12544" width="9.85546875" customWidth="1"/>
    <col min="12545" max="12545" width="7.5703125" customWidth="1"/>
    <col min="12546" max="12548" width="8" customWidth="1"/>
    <col min="12549" max="12549" width="12.28515625" customWidth="1"/>
    <col min="12550" max="12550" width="8.140625" customWidth="1"/>
    <col min="12551" max="12551" width="8" customWidth="1"/>
    <col min="12552" max="12552" width="7.5703125" bestFit="1" customWidth="1"/>
    <col min="12553" max="12553" width="8" bestFit="1" customWidth="1"/>
    <col min="12554" max="12554" width="13.5703125" customWidth="1"/>
    <col min="12794" max="12794" width="46.7109375" customWidth="1"/>
    <col min="12795" max="12795" width="10.7109375" customWidth="1"/>
    <col min="12796" max="12796" width="9.85546875" customWidth="1"/>
    <col min="12797" max="12797" width="11.140625" customWidth="1"/>
    <col min="12798" max="12798" width="9.85546875" customWidth="1"/>
    <col min="12799" max="12799" width="11.140625" customWidth="1"/>
    <col min="12800" max="12800" width="9.85546875" customWidth="1"/>
    <col min="12801" max="12801" width="7.5703125" customWidth="1"/>
    <col min="12802" max="12804" width="8" customWidth="1"/>
    <col min="12805" max="12805" width="12.28515625" customWidth="1"/>
    <col min="12806" max="12806" width="8.140625" customWidth="1"/>
    <col min="12807" max="12807" width="8" customWidth="1"/>
    <col min="12808" max="12808" width="7.5703125" bestFit="1" customWidth="1"/>
    <col min="12809" max="12809" width="8" bestFit="1" customWidth="1"/>
    <col min="12810" max="12810" width="13.5703125" customWidth="1"/>
    <col min="13050" max="13050" width="46.7109375" customWidth="1"/>
    <col min="13051" max="13051" width="10.7109375" customWidth="1"/>
    <col min="13052" max="13052" width="9.85546875" customWidth="1"/>
    <col min="13053" max="13053" width="11.140625" customWidth="1"/>
    <col min="13054" max="13054" width="9.85546875" customWidth="1"/>
    <col min="13055" max="13055" width="11.140625" customWidth="1"/>
    <col min="13056" max="13056" width="9.85546875" customWidth="1"/>
    <col min="13057" max="13057" width="7.5703125" customWidth="1"/>
    <col min="13058" max="13060" width="8" customWidth="1"/>
    <col min="13061" max="13061" width="12.28515625" customWidth="1"/>
    <col min="13062" max="13062" width="8.140625" customWidth="1"/>
    <col min="13063" max="13063" width="8" customWidth="1"/>
    <col min="13064" max="13064" width="7.5703125" bestFit="1" customWidth="1"/>
    <col min="13065" max="13065" width="8" bestFit="1" customWidth="1"/>
    <col min="13066" max="13066" width="13.5703125" customWidth="1"/>
    <col min="13306" max="13306" width="46.7109375" customWidth="1"/>
    <col min="13307" max="13307" width="10.7109375" customWidth="1"/>
    <col min="13308" max="13308" width="9.85546875" customWidth="1"/>
    <col min="13309" max="13309" width="11.140625" customWidth="1"/>
    <col min="13310" max="13310" width="9.85546875" customWidth="1"/>
    <col min="13311" max="13311" width="11.140625" customWidth="1"/>
    <col min="13312" max="13312" width="9.85546875" customWidth="1"/>
    <col min="13313" max="13313" width="7.5703125" customWidth="1"/>
    <col min="13314" max="13316" width="8" customWidth="1"/>
    <col min="13317" max="13317" width="12.28515625" customWidth="1"/>
    <col min="13318" max="13318" width="8.140625" customWidth="1"/>
    <col min="13319" max="13319" width="8" customWidth="1"/>
    <col min="13320" max="13320" width="7.5703125" bestFit="1" customWidth="1"/>
    <col min="13321" max="13321" width="8" bestFit="1" customWidth="1"/>
    <col min="13322" max="13322" width="13.5703125" customWidth="1"/>
    <col min="13562" max="13562" width="46.7109375" customWidth="1"/>
    <col min="13563" max="13563" width="10.7109375" customWidth="1"/>
    <col min="13564" max="13564" width="9.85546875" customWidth="1"/>
    <col min="13565" max="13565" width="11.140625" customWidth="1"/>
    <col min="13566" max="13566" width="9.85546875" customWidth="1"/>
    <col min="13567" max="13567" width="11.140625" customWidth="1"/>
    <col min="13568" max="13568" width="9.85546875" customWidth="1"/>
    <col min="13569" max="13569" width="7.5703125" customWidth="1"/>
    <col min="13570" max="13572" width="8" customWidth="1"/>
    <col min="13573" max="13573" width="12.28515625" customWidth="1"/>
    <col min="13574" max="13574" width="8.140625" customWidth="1"/>
    <col min="13575" max="13575" width="8" customWidth="1"/>
    <col min="13576" max="13576" width="7.5703125" bestFit="1" customWidth="1"/>
    <col min="13577" max="13577" width="8" bestFit="1" customWidth="1"/>
    <col min="13578" max="13578" width="13.5703125" customWidth="1"/>
    <col min="13818" max="13818" width="46.7109375" customWidth="1"/>
    <col min="13819" max="13819" width="10.7109375" customWidth="1"/>
    <col min="13820" max="13820" width="9.85546875" customWidth="1"/>
    <col min="13821" max="13821" width="11.140625" customWidth="1"/>
    <col min="13822" max="13822" width="9.85546875" customWidth="1"/>
    <col min="13823" max="13823" width="11.140625" customWidth="1"/>
    <col min="13824" max="13824" width="9.85546875" customWidth="1"/>
    <col min="13825" max="13825" width="7.5703125" customWidth="1"/>
    <col min="13826" max="13828" width="8" customWidth="1"/>
    <col min="13829" max="13829" width="12.28515625" customWidth="1"/>
    <col min="13830" max="13830" width="8.140625" customWidth="1"/>
    <col min="13831" max="13831" width="8" customWidth="1"/>
    <col min="13832" max="13832" width="7.5703125" bestFit="1" customWidth="1"/>
    <col min="13833" max="13833" width="8" bestFit="1" customWidth="1"/>
    <col min="13834" max="13834" width="13.5703125" customWidth="1"/>
    <col min="14074" max="14074" width="46.7109375" customWidth="1"/>
    <col min="14075" max="14075" width="10.7109375" customWidth="1"/>
    <col min="14076" max="14076" width="9.85546875" customWidth="1"/>
    <col min="14077" max="14077" width="11.140625" customWidth="1"/>
    <col min="14078" max="14078" width="9.85546875" customWidth="1"/>
    <col min="14079" max="14079" width="11.140625" customWidth="1"/>
    <col min="14080" max="14080" width="9.85546875" customWidth="1"/>
    <col min="14081" max="14081" width="7.5703125" customWidth="1"/>
    <col min="14082" max="14084" width="8" customWidth="1"/>
    <col min="14085" max="14085" width="12.28515625" customWidth="1"/>
    <col min="14086" max="14086" width="8.140625" customWidth="1"/>
    <col min="14087" max="14087" width="8" customWidth="1"/>
    <col min="14088" max="14088" width="7.5703125" bestFit="1" customWidth="1"/>
    <col min="14089" max="14089" width="8" bestFit="1" customWidth="1"/>
    <col min="14090" max="14090" width="13.5703125" customWidth="1"/>
    <col min="14330" max="14330" width="46.7109375" customWidth="1"/>
    <col min="14331" max="14331" width="10.7109375" customWidth="1"/>
    <col min="14332" max="14332" width="9.85546875" customWidth="1"/>
    <col min="14333" max="14333" width="11.140625" customWidth="1"/>
    <col min="14334" max="14334" width="9.85546875" customWidth="1"/>
    <col min="14335" max="14335" width="11.140625" customWidth="1"/>
    <col min="14336" max="14336" width="9.85546875" customWidth="1"/>
    <col min="14337" max="14337" width="7.5703125" customWidth="1"/>
    <col min="14338" max="14340" width="8" customWidth="1"/>
    <col min="14341" max="14341" width="12.28515625" customWidth="1"/>
    <col min="14342" max="14342" width="8.140625" customWidth="1"/>
    <col min="14343" max="14343" width="8" customWidth="1"/>
    <col min="14344" max="14344" width="7.5703125" bestFit="1" customWidth="1"/>
    <col min="14345" max="14345" width="8" bestFit="1" customWidth="1"/>
    <col min="14346" max="14346" width="13.5703125" customWidth="1"/>
    <col min="14586" max="14586" width="46.7109375" customWidth="1"/>
    <col min="14587" max="14587" width="10.7109375" customWidth="1"/>
    <col min="14588" max="14588" width="9.85546875" customWidth="1"/>
    <col min="14589" max="14589" width="11.140625" customWidth="1"/>
    <col min="14590" max="14590" width="9.85546875" customWidth="1"/>
    <col min="14591" max="14591" width="11.140625" customWidth="1"/>
    <col min="14592" max="14592" width="9.85546875" customWidth="1"/>
    <col min="14593" max="14593" width="7.5703125" customWidth="1"/>
    <col min="14594" max="14596" width="8" customWidth="1"/>
    <col min="14597" max="14597" width="12.28515625" customWidth="1"/>
    <col min="14598" max="14598" width="8.140625" customWidth="1"/>
    <col min="14599" max="14599" width="8" customWidth="1"/>
    <col min="14600" max="14600" width="7.5703125" bestFit="1" customWidth="1"/>
    <col min="14601" max="14601" width="8" bestFit="1" customWidth="1"/>
    <col min="14602" max="14602" width="13.5703125" customWidth="1"/>
    <col min="14842" max="14842" width="46.7109375" customWidth="1"/>
    <col min="14843" max="14843" width="10.7109375" customWidth="1"/>
    <col min="14844" max="14844" width="9.85546875" customWidth="1"/>
    <col min="14845" max="14845" width="11.140625" customWidth="1"/>
    <col min="14846" max="14846" width="9.85546875" customWidth="1"/>
    <col min="14847" max="14847" width="11.140625" customWidth="1"/>
    <col min="14848" max="14848" width="9.85546875" customWidth="1"/>
    <col min="14849" max="14849" width="7.5703125" customWidth="1"/>
    <col min="14850" max="14852" width="8" customWidth="1"/>
    <col min="14853" max="14853" width="12.28515625" customWidth="1"/>
    <col min="14854" max="14854" width="8.140625" customWidth="1"/>
    <col min="14855" max="14855" width="8" customWidth="1"/>
    <col min="14856" max="14856" width="7.5703125" bestFit="1" customWidth="1"/>
    <col min="14857" max="14857" width="8" bestFit="1" customWidth="1"/>
    <col min="14858" max="14858" width="13.5703125" customWidth="1"/>
    <col min="15098" max="15098" width="46.7109375" customWidth="1"/>
    <col min="15099" max="15099" width="10.7109375" customWidth="1"/>
    <col min="15100" max="15100" width="9.85546875" customWidth="1"/>
    <col min="15101" max="15101" width="11.140625" customWidth="1"/>
    <col min="15102" max="15102" width="9.85546875" customWidth="1"/>
    <col min="15103" max="15103" width="11.140625" customWidth="1"/>
    <col min="15104" max="15104" width="9.85546875" customWidth="1"/>
    <col min="15105" max="15105" width="7.5703125" customWidth="1"/>
    <col min="15106" max="15108" width="8" customWidth="1"/>
    <col min="15109" max="15109" width="12.28515625" customWidth="1"/>
    <col min="15110" max="15110" width="8.140625" customWidth="1"/>
    <col min="15111" max="15111" width="8" customWidth="1"/>
    <col min="15112" max="15112" width="7.5703125" bestFit="1" customWidth="1"/>
    <col min="15113" max="15113" width="8" bestFit="1" customWidth="1"/>
    <col min="15114" max="15114" width="13.5703125" customWidth="1"/>
    <col min="15354" max="15354" width="46.7109375" customWidth="1"/>
    <col min="15355" max="15355" width="10.7109375" customWidth="1"/>
    <col min="15356" max="15356" width="9.85546875" customWidth="1"/>
    <col min="15357" max="15357" width="11.140625" customWidth="1"/>
    <col min="15358" max="15358" width="9.85546875" customWidth="1"/>
    <col min="15359" max="15359" width="11.140625" customWidth="1"/>
    <col min="15360" max="15360" width="9.85546875" customWidth="1"/>
    <col min="15361" max="15361" width="7.5703125" customWidth="1"/>
    <col min="15362" max="15364" width="8" customWidth="1"/>
    <col min="15365" max="15365" width="12.28515625" customWidth="1"/>
    <col min="15366" max="15366" width="8.140625" customWidth="1"/>
    <col min="15367" max="15367" width="8" customWidth="1"/>
    <col min="15368" max="15368" width="7.5703125" bestFit="1" customWidth="1"/>
    <col min="15369" max="15369" width="8" bestFit="1" customWidth="1"/>
    <col min="15370" max="15370" width="13.5703125" customWidth="1"/>
    <col min="15610" max="15610" width="46.7109375" customWidth="1"/>
    <col min="15611" max="15611" width="10.7109375" customWidth="1"/>
    <col min="15612" max="15612" width="9.85546875" customWidth="1"/>
    <col min="15613" max="15613" width="11.140625" customWidth="1"/>
    <col min="15614" max="15614" width="9.85546875" customWidth="1"/>
    <col min="15615" max="15615" width="11.140625" customWidth="1"/>
    <col min="15616" max="15616" width="9.85546875" customWidth="1"/>
    <col min="15617" max="15617" width="7.5703125" customWidth="1"/>
    <col min="15618" max="15620" width="8" customWidth="1"/>
    <col min="15621" max="15621" width="12.28515625" customWidth="1"/>
    <col min="15622" max="15622" width="8.140625" customWidth="1"/>
    <col min="15623" max="15623" width="8" customWidth="1"/>
    <col min="15624" max="15624" width="7.5703125" bestFit="1" customWidth="1"/>
    <col min="15625" max="15625" width="8" bestFit="1" customWidth="1"/>
    <col min="15626" max="15626" width="13.5703125" customWidth="1"/>
    <col min="15866" max="15866" width="46.7109375" customWidth="1"/>
    <col min="15867" max="15867" width="10.7109375" customWidth="1"/>
    <col min="15868" max="15868" width="9.85546875" customWidth="1"/>
    <col min="15869" max="15869" width="11.140625" customWidth="1"/>
    <col min="15870" max="15870" width="9.85546875" customWidth="1"/>
    <col min="15871" max="15871" width="11.140625" customWidth="1"/>
    <col min="15872" max="15872" width="9.85546875" customWidth="1"/>
    <col min="15873" max="15873" width="7.5703125" customWidth="1"/>
    <col min="15874" max="15876" width="8" customWidth="1"/>
    <col min="15877" max="15877" width="12.28515625" customWidth="1"/>
    <col min="15878" max="15878" width="8.140625" customWidth="1"/>
    <col min="15879" max="15879" width="8" customWidth="1"/>
    <col min="15880" max="15880" width="7.5703125" bestFit="1" customWidth="1"/>
    <col min="15881" max="15881" width="8" bestFit="1" customWidth="1"/>
    <col min="15882" max="15882" width="13.5703125" customWidth="1"/>
    <col min="16122" max="16122" width="46.7109375" customWidth="1"/>
    <col min="16123" max="16123" width="10.7109375" customWidth="1"/>
    <col min="16124" max="16124" width="9.85546875" customWidth="1"/>
    <col min="16125" max="16125" width="11.140625" customWidth="1"/>
    <col min="16126" max="16126" width="9.85546875" customWidth="1"/>
    <col min="16127" max="16127" width="11.140625" customWidth="1"/>
    <col min="16128" max="16128" width="9.85546875" customWidth="1"/>
    <col min="16129" max="16129" width="7.5703125" customWidth="1"/>
    <col min="16130" max="16132" width="8" customWidth="1"/>
    <col min="16133" max="16133" width="12.28515625" customWidth="1"/>
    <col min="16134" max="16134" width="8.140625" customWidth="1"/>
    <col min="16135" max="16135" width="8" customWidth="1"/>
    <col min="16136" max="16136" width="7.5703125" bestFit="1" customWidth="1"/>
    <col min="16137" max="16137" width="8" bestFit="1" customWidth="1"/>
    <col min="16138" max="16138" width="13.5703125" customWidth="1"/>
  </cols>
  <sheetData>
    <row r="1" spans="1:1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1"/>
      <c r="P1" s="1"/>
      <c r="Q1" s="1"/>
    </row>
    <row r="2" spans="1:19" x14ac:dyDescent="0.25">
      <c r="I2" s="3"/>
    </row>
    <row r="3" spans="1:19" ht="16.5" x14ac:dyDescent="0.35">
      <c r="A3" s="4"/>
      <c r="B3" s="4">
        <v>2003</v>
      </c>
      <c r="C3" s="4">
        <v>2004</v>
      </c>
      <c r="D3" s="4">
        <v>2005</v>
      </c>
      <c r="E3" s="4">
        <v>2006</v>
      </c>
      <c r="F3" s="4">
        <v>2007</v>
      </c>
      <c r="G3" s="4">
        <v>2008</v>
      </c>
      <c r="H3" s="4">
        <v>2009</v>
      </c>
      <c r="I3" s="4">
        <v>2010</v>
      </c>
      <c r="J3" s="4">
        <v>2011</v>
      </c>
      <c r="K3" s="4">
        <v>2012</v>
      </c>
      <c r="L3" s="4">
        <v>2013</v>
      </c>
      <c r="M3" s="4">
        <v>2014</v>
      </c>
      <c r="N3" s="4">
        <v>2015</v>
      </c>
      <c r="O3" s="4">
        <v>2016</v>
      </c>
      <c r="P3" s="4">
        <v>2017</v>
      </c>
      <c r="Q3" s="4">
        <v>2018</v>
      </c>
      <c r="R3" s="4">
        <v>2019</v>
      </c>
    </row>
    <row r="4" spans="1:19" x14ac:dyDescent="0.25">
      <c r="A4" s="5"/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9" x14ac:dyDescent="0.25">
      <c r="A5" s="8" t="s">
        <v>1</v>
      </c>
      <c r="B5" s="9"/>
      <c r="C5" s="9"/>
      <c r="D5" s="9"/>
      <c r="E5" s="9"/>
      <c r="F5" s="9"/>
      <c r="G5" s="9"/>
      <c r="H5" s="9"/>
      <c r="I5" s="10"/>
      <c r="J5" s="10"/>
      <c r="K5" s="11"/>
      <c r="L5" s="12"/>
      <c r="M5" s="12"/>
      <c r="N5" s="12"/>
      <c r="O5" s="12"/>
      <c r="P5" s="12"/>
      <c r="Q5" s="13"/>
    </row>
    <row r="6" spans="1:19" ht="20.45" customHeight="1" x14ac:dyDescent="0.25">
      <c r="A6" s="14" t="s">
        <v>2</v>
      </c>
      <c r="B6" s="15">
        <f t="shared" ref="B6:R6" si="0">((B17+B19+B26)/B101)*100</f>
        <v>98.412628114136126</v>
      </c>
      <c r="C6" s="15">
        <f t="shared" si="0"/>
        <v>90.993037153114372</v>
      </c>
      <c r="D6" s="15">
        <f t="shared" si="0"/>
        <v>66.784255934852411</v>
      </c>
      <c r="E6" s="15">
        <f t="shared" si="0"/>
        <v>23.92474971153846</v>
      </c>
      <c r="F6" s="15">
        <f t="shared" si="0"/>
        <v>23.746208774722614</v>
      </c>
      <c r="G6" s="15">
        <f t="shared" si="0"/>
        <v>20.057261592546702</v>
      </c>
      <c r="H6" s="15">
        <f t="shared" si="0"/>
        <v>19.565863425250246</v>
      </c>
      <c r="I6" s="15">
        <f t="shared" si="0"/>
        <v>20.357017858629611</v>
      </c>
      <c r="J6" s="15">
        <f t="shared" si="0"/>
        <v>21.41985934082507</v>
      </c>
      <c r="K6" s="15">
        <f t="shared" si="0"/>
        <v>21.487901472742262</v>
      </c>
      <c r="L6" s="15">
        <f t="shared" si="0"/>
        <v>28.268856313600654</v>
      </c>
      <c r="M6" s="15">
        <f t="shared" si="0"/>
        <v>30.687229144020574</v>
      </c>
      <c r="N6" s="15">
        <f t="shared" si="0"/>
        <v>35.489953432464837</v>
      </c>
      <c r="O6" s="15">
        <f t="shared" si="0"/>
        <v>45.808722141355197</v>
      </c>
      <c r="P6" s="15">
        <f t="shared" si="0"/>
        <v>49.331549667310611</v>
      </c>
      <c r="Q6" s="15">
        <f t="shared" si="0"/>
        <v>53.058289116239784</v>
      </c>
      <c r="R6" s="15">
        <f t="shared" si="0"/>
        <v>58.863556925991666</v>
      </c>
      <c r="S6" s="13"/>
    </row>
    <row r="7" spans="1:19" ht="29.25" customHeight="1" x14ac:dyDescent="0.25">
      <c r="A7" s="16" t="s">
        <v>3</v>
      </c>
      <c r="B7" s="15">
        <f t="shared" ref="B7:R7" si="1">((B17+B19+B26+B87)/B101)*100</f>
        <v>100.59836700479696</v>
      </c>
      <c r="C7" s="15">
        <f t="shared" si="1"/>
        <v>92.785187447843541</v>
      </c>
      <c r="D7" s="15">
        <f t="shared" si="1"/>
        <v>67.99082062577466</v>
      </c>
      <c r="E7" s="15">
        <f t="shared" si="1"/>
        <v>24.938835640877009</v>
      </c>
      <c r="F7" s="15">
        <f t="shared" si="1"/>
        <v>24.525004445386976</v>
      </c>
      <c r="G7" s="15">
        <f t="shared" si="1"/>
        <v>20.784835381662255</v>
      </c>
      <c r="H7" s="15">
        <f t="shared" si="1"/>
        <v>21.175882675000157</v>
      </c>
      <c r="I7" s="15">
        <f t="shared" si="1"/>
        <v>24.096680404957578</v>
      </c>
      <c r="J7" s="15">
        <f t="shared" si="1"/>
        <v>24.453954182159045</v>
      </c>
      <c r="K7" s="15">
        <f t="shared" si="1"/>
        <v>25.873452979482316</v>
      </c>
      <c r="L7" s="15">
        <f t="shared" si="1"/>
        <v>32.574283876431544</v>
      </c>
      <c r="M7" s="15">
        <f t="shared" si="1"/>
        <v>34.64586996887131</v>
      </c>
      <c r="N7" s="15">
        <f t="shared" si="1"/>
        <v>38.755164654608627</v>
      </c>
      <c r="O7" s="15">
        <f t="shared" si="1"/>
        <v>54.988881058378716</v>
      </c>
      <c r="P7" s="15">
        <f t="shared" si="1"/>
        <v>57.924362159954882</v>
      </c>
      <c r="Q7" s="15">
        <f t="shared" si="1"/>
        <v>61.607401285266192</v>
      </c>
      <c r="R7" s="15">
        <f t="shared" si="1"/>
        <v>67.403744289352062</v>
      </c>
    </row>
    <row r="8" spans="1:19" ht="16.5" customHeight="1" x14ac:dyDescent="0.25">
      <c r="A8" s="17" t="s">
        <v>4</v>
      </c>
      <c r="B8" s="18">
        <f>(B87/B101)*100</f>
        <v>2.1857388906608497</v>
      </c>
      <c r="C8" s="18">
        <f t="shared" ref="C8:R8" si="2">(C87/C101)*100</f>
        <v>1.7921502947291688</v>
      </c>
      <c r="D8" s="18">
        <f t="shared" si="2"/>
        <v>1.2065646909222527</v>
      </c>
      <c r="E8" s="18">
        <f t="shared" si="2"/>
        <v>1.0140859293385489</v>
      </c>
      <c r="F8" s="18">
        <f t="shared" si="2"/>
        <v>0.77879567066436084</v>
      </c>
      <c r="G8" s="18">
        <f t="shared" si="2"/>
        <v>0.72757378911555093</v>
      </c>
      <c r="H8" s="18">
        <f t="shared" si="2"/>
        <v>1.6100192497499128</v>
      </c>
      <c r="I8" s="18">
        <f t="shared" si="2"/>
        <v>3.7396625463279682</v>
      </c>
      <c r="J8" s="18">
        <f t="shared" si="2"/>
        <v>3.0340948413339768</v>
      </c>
      <c r="K8" s="18">
        <f t="shared" si="2"/>
        <v>4.385551506740053</v>
      </c>
      <c r="L8" s="18">
        <f t="shared" si="2"/>
        <v>4.3054275628308876</v>
      </c>
      <c r="M8" s="18">
        <f t="shared" si="2"/>
        <v>3.9586408248507334</v>
      </c>
      <c r="N8" s="18">
        <f t="shared" si="2"/>
        <v>3.2652112221437886</v>
      </c>
      <c r="O8" s="18">
        <f t="shared" si="2"/>
        <v>9.1801589170235154</v>
      </c>
      <c r="P8" s="18">
        <f t="shared" si="2"/>
        <v>8.5928124926442582</v>
      </c>
      <c r="Q8" s="18">
        <f t="shared" si="2"/>
        <v>8.549112169026408</v>
      </c>
      <c r="R8" s="18">
        <f t="shared" si="2"/>
        <v>8.5401873633603955</v>
      </c>
    </row>
    <row r="9" spans="1:19" s="19" customFormat="1" x14ac:dyDescent="0.25">
      <c r="A9" s="17" t="s">
        <v>5</v>
      </c>
      <c r="B9" s="18">
        <f t="shared" ref="B9:R9" si="3">(B26/B101)*100</f>
        <v>13.114794923376365</v>
      </c>
      <c r="C9" s="18">
        <f t="shared" si="3"/>
        <v>12.424235926568931</v>
      </c>
      <c r="D9" s="18">
        <f t="shared" si="3"/>
        <v>9.6033728290475686</v>
      </c>
      <c r="E9" s="18">
        <f t="shared" si="3"/>
        <v>8.5863053613053619</v>
      </c>
      <c r="F9" s="18">
        <f t="shared" si="3"/>
        <v>8.7281273607748169</v>
      </c>
      <c r="G9" s="18">
        <f t="shared" si="3"/>
        <v>5.8721532596263826</v>
      </c>
      <c r="H9" s="18">
        <f t="shared" si="3"/>
        <v>5.7395866968033591</v>
      </c>
      <c r="I9" s="18">
        <f t="shared" si="3"/>
        <v>6.417472881852829</v>
      </c>
      <c r="J9" s="18">
        <f t="shared" si="3"/>
        <v>4.5714285714285712</v>
      </c>
      <c r="K9" s="18">
        <f t="shared" si="3"/>
        <v>5.3659070990359323</v>
      </c>
      <c r="L9" s="18">
        <f t="shared" si="3"/>
        <v>6.3334712923513887</v>
      </c>
      <c r="M9" s="18">
        <f t="shared" si="3"/>
        <v>7.1378704720087827</v>
      </c>
      <c r="N9" s="18">
        <f t="shared" si="3"/>
        <v>8.463471849865952</v>
      </c>
      <c r="O9" s="18">
        <f t="shared" si="3"/>
        <v>8.5551558752997607</v>
      </c>
      <c r="P9" s="18">
        <f t="shared" si="3"/>
        <v>8.8946057499937066</v>
      </c>
      <c r="Q9" s="18">
        <f t="shared" si="3"/>
        <v>9.146644730730511</v>
      </c>
      <c r="R9" s="18">
        <f t="shared" si="3"/>
        <v>10.674947966120738</v>
      </c>
    </row>
    <row r="10" spans="1:19" s="19" customFormat="1" x14ac:dyDescent="0.25">
      <c r="A10" s="17" t="s">
        <v>6</v>
      </c>
      <c r="B10" s="18">
        <f t="shared" ref="B10:R10" si="4">(B17/B101)*100</f>
        <v>85.297833190759746</v>
      </c>
      <c r="C10" s="18">
        <f t="shared" si="4"/>
        <v>78.56880122654546</v>
      </c>
      <c r="D10" s="18">
        <f t="shared" si="4"/>
        <v>57.180883105804845</v>
      </c>
      <c r="E10" s="18">
        <f t="shared" si="4"/>
        <v>15.338444350233102</v>
      </c>
      <c r="F10" s="18">
        <f t="shared" si="4"/>
        <v>15.018081413947797</v>
      </c>
      <c r="G10" s="18">
        <f t="shared" si="4"/>
        <v>14.18510833292032</v>
      </c>
      <c r="H10" s="18">
        <f t="shared" si="4"/>
        <v>13.586492421052633</v>
      </c>
      <c r="I10" s="18">
        <f t="shared" si="4"/>
        <v>13.538713842212138</v>
      </c>
      <c r="J10" s="18">
        <f t="shared" si="4"/>
        <v>14.910334379622064</v>
      </c>
      <c r="K10" s="18">
        <f t="shared" si="4"/>
        <v>14.695657308498177</v>
      </c>
      <c r="L10" s="18">
        <f t="shared" si="4"/>
        <v>21.1486679386101</v>
      </c>
      <c r="M10" s="18">
        <f t="shared" si="4"/>
        <v>22.368154285970807</v>
      </c>
      <c r="N10" s="18">
        <f t="shared" si="4"/>
        <v>25.854367128753619</v>
      </c>
      <c r="O10" s="18">
        <f t="shared" si="4"/>
        <v>30.126675972126606</v>
      </c>
      <c r="P10" s="18">
        <f t="shared" si="4"/>
        <v>33.466331708739837</v>
      </c>
      <c r="Q10" s="18">
        <f t="shared" si="4"/>
        <v>37.166567157175692</v>
      </c>
      <c r="R10" s="18">
        <f t="shared" si="4"/>
        <v>42.094339658287595</v>
      </c>
    </row>
    <row r="11" spans="1:19" s="19" customFormat="1" x14ac:dyDescent="0.25">
      <c r="A11" s="17" t="s">
        <v>7</v>
      </c>
      <c r="B11" s="20">
        <f t="shared" ref="B11:R11" si="5">(B19/B101)*100</f>
        <v>0</v>
      </c>
      <c r="C11" s="20">
        <f t="shared" si="5"/>
        <v>0</v>
      </c>
      <c r="D11" s="20">
        <f t="shared" si="5"/>
        <v>0</v>
      </c>
      <c r="E11" s="20">
        <f t="shared" si="5"/>
        <v>0</v>
      </c>
      <c r="F11" s="20">
        <f t="shared" si="5"/>
        <v>0</v>
      </c>
      <c r="G11" s="20">
        <f t="shared" si="5"/>
        <v>0</v>
      </c>
      <c r="H11" s="20">
        <f t="shared" si="5"/>
        <v>0.23978430739425249</v>
      </c>
      <c r="I11" s="20">
        <f t="shared" si="5"/>
        <v>0.40083113456464381</v>
      </c>
      <c r="J11" s="20">
        <f t="shared" si="5"/>
        <v>1.9380963897744363</v>
      </c>
      <c r="K11" s="20">
        <f t="shared" si="5"/>
        <v>1.4263370652081506</v>
      </c>
      <c r="L11" s="20">
        <f t="shared" si="5"/>
        <v>0.78671708263916773</v>
      </c>
      <c r="M11" s="20">
        <f t="shared" si="5"/>
        <v>1.1812043860409804</v>
      </c>
      <c r="N11" s="20">
        <f t="shared" si="5"/>
        <v>1.1721144538452628</v>
      </c>
      <c r="O11" s="20">
        <f t="shared" si="5"/>
        <v>7.1268902939288266</v>
      </c>
      <c r="P11" s="20">
        <f t="shared" si="5"/>
        <v>6.970612208577065</v>
      </c>
      <c r="Q11" s="20">
        <f t="shared" si="5"/>
        <v>6.7450772283335834</v>
      </c>
      <c r="R11" s="20">
        <f t="shared" si="5"/>
        <v>6.0942693015833385</v>
      </c>
    </row>
    <row r="12" spans="1:19" x14ac:dyDescent="0.25">
      <c r="A12" s="14" t="s">
        <v>8</v>
      </c>
      <c r="B12" s="21">
        <f t="shared" ref="B12:R12" si="6">((B17+B87)/B101)*100</f>
        <v>87.483572081420604</v>
      </c>
      <c r="C12" s="21">
        <f t="shared" si="6"/>
        <v>80.360951521274629</v>
      </c>
      <c r="D12" s="21">
        <f t="shared" si="6"/>
        <v>58.387447796727102</v>
      </c>
      <c r="E12" s="21">
        <f t="shared" si="6"/>
        <v>16.352530279571649</v>
      </c>
      <c r="F12" s="21">
        <f t="shared" si="6"/>
        <v>15.796877084612158</v>
      </c>
      <c r="G12" s="21">
        <f t="shared" si="6"/>
        <v>14.91268212203587</v>
      </c>
      <c r="H12" s="21">
        <f t="shared" si="6"/>
        <v>15.196511670802545</v>
      </c>
      <c r="I12" s="21">
        <f t="shared" si="6"/>
        <v>17.278376388540103</v>
      </c>
      <c r="J12" s="21">
        <f t="shared" si="6"/>
        <v>17.944429220956039</v>
      </c>
      <c r="K12" s="21">
        <f t="shared" si="6"/>
        <v>19.081208815238231</v>
      </c>
      <c r="L12" s="21">
        <f t="shared" si="6"/>
        <v>25.454095501440989</v>
      </c>
      <c r="M12" s="21">
        <f t="shared" si="6"/>
        <v>26.326795110821539</v>
      </c>
      <c r="N12" s="21">
        <f t="shared" si="6"/>
        <v>29.119578350897413</v>
      </c>
      <c r="O12" s="21">
        <f t="shared" si="6"/>
        <v>39.306834889150124</v>
      </c>
      <c r="P12" s="21">
        <f t="shared" si="6"/>
        <v>42.059144201384093</v>
      </c>
      <c r="Q12" s="21">
        <f t="shared" si="6"/>
        <v>45.7156793262021</v>
      </c>
      <c r="R12" s="21">
        <f t="shared" si="6"/>
        <v>50.63452702164799</v>
      </c>
    </row>
    <row r="13" spans="1:19" x14ac:dyDescent="0.25">
      <c r="A13" s="14"/>
      <c r="B13" s="21"/>
      <c r="C13" s="21"/>
      <c r="D13" s="21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9" ht="25.5" customHeight="1" x14ac:dyDescent="0.25">
      <c r="A14" s="14" t="s">
        <v>9</v>
      </c>
      <c r="B14" s="15">
        <f t="shared" ref="B14:P14" si="7">B17+B26+B19</f>
        <v>976.84033679999993</v>
      </c>
      <c r="C14" s="15">
        <f t="shared" si="7"/>
        <v>1097.5863299399998</v>
      </c>
      <c r="D14" s="15">
        <f t="shared" si="7"/>
        <v>961.57806231289987</v>
      </c>
      <c r="E14" s="15">
        <f t="shared" si="7"/>
        <v>410.54870505000002</v>
      </c>
      <c r="F14" s="15">
        <f t="shared" si="7"/>
        <v>490.35921119802197</v>
      </c>
      <c r="G14" s="15">
        <f t="shared" si="7"/>
        <v>526.10197157250002</v>
      </c>
      <c r="H14" s="15">
        <f t="shared" si="7"/>
        <v>605.95479028</v>
      </c>
      <c r="I14" s="15">
        <f t="shared" si="7"/>
        <v>694.37787915785611</v>
      </c>
      <c r="J14" s="15">
        <f t="shared" si="7"/>
        <v>854.65238769892028</v>
      </c>
      <c r="K14" s="15">
        <f t="shared" si="7"/>
        <v>980.70782321595675</v>
      </c>
      <c r="L14" s="15">
        <f t="shared" si="7"/>
        <v>1393.3719276973763</v>
      </c>
      <c r="M14" s="15">
        <f t="shared" si="7"/>
        <v>1677.3639450121645</v>
      </c>
      <c r="N14" s="15">
        <f t="shared" si="7"/>
        <v>2118.0404208495015</v>
      </c>
      <c r="O14" s="15">
        <f t="shared" si="7"/>
        <v>3056.3579412712188</v>
      </c>
      <c r="P14" s="15">
        <f t="shared" si="7"/>
        <v>3749.1977747156066</v>
      </c>
      <c r="Q14" s="15">
        <f>Q17+Q26+Q19</f>
        <v>4344.9432957288764</v>
      </c>
      <c r="R14" s="15">
        <f>R17+R26+R19</f>
        <v>5325.0720911565777</v>
      </c>
      <c r="S14" s="13"/>
    </row>
    <row r="15" spans="1:19" ht="25.5" customHeight="1" x14ac:dyDescent="0.25">
      <c r="A15" s="23" t="s">
        <v>10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13"/>
    </row>
    <row r="16" spans="1:19" x14ac:dyDescent="0.25">
      <c r="A16" s="25" t="s">
        <v>11</v>
      </c>
      <c r="B16" s="26">
        <v>1459.06</v>
      </c>
      <c r="C16" s="26">
        <v>1671.8789999999999</v>
      </c>
      <c r="D16" s="26">
        <v>1486.867</v>
      </c>
      <c r="E16" s="26">
        <v>479.73700000000002</v>
      </c>
      <c r="F16" s="26">
        <v>569.84899999999993</v>
      </c>
      <c r="G16" s="26">
        <v>665.73099999999999</v>
      </c>
      <c r="H16" s="26">
        <v>736.59699999999998</v>
      </c>
      <c r="I16" s="11">
        <v>776.86185407999994</v>
      </c>
      <c r="J16" s="26">
        <v>984.74090899769249</v>
      </c>
      <c r="K16" s="26">
        <v>1062.2469999999998</v>
      </c>
      <c r="L16" s="26">
        <v>1555.6679999999999</v>
      </c>
      <c r="M16" s="26">
        <v>1760.784513483</v>
      </c>
      <c r="N16" s="26">
        <v>2064.4560000000001</v>
      </c>
      <c r="O16" s="26">
        <v>2451.9131131684271</v>
      </c>
      <c r="P16" s="26">
        <v>3010.0002838639998</v>
      </c>
      <c r="Q16" s="26">
        <v>3462.1398687189994</v>
      </c>
      <c r="R16" s="26">
        <v>4125.4818454349997</v>
      </c>
      <c r="S16" s="13"/>
    </row>
    <row r="17" spans="1:19" s="29" customFormat="1" x14ac:dyDescent="0.25">
      <c r="A17" s="27" t="s">
        <v>12</v>
      </c>
      <c r="B17" s="15">
        <f t="shared" ref="B17:R17" si="8">(B16*B104)/1000</f>
        <v>846.66333679999991</v>
      </c>
      <c r="C17" s="15">
        <f t="shared" si="8"/>
        <v>947.72132993999992</v>
      </c>
      <c r="D17" s="15">
        <f t="shared" si="8"/>
        <v>823.30606231289994</v>
      </c>
      <c r="E17" s="15">
        <f t="shared" si="8"/>
        <v>263.20770505000002</v>
      </c>
      <c r="F17" s="15">
        <f t="shared" si="8"/>
        <v>310.123381198022</v>
      </c>
      <c r="G17" s="15">
        <f t="shared" si="8"/>
        <v>372.0753915725</v>
      </c>
      <c r="H17" s="15">
        <f t="shared" si="8"/>
        <v>420.77367028000003</v>
      </c>
      <c r="I17" s="15">
        <f t="shared" si="8"/>
        <v>461.80552915785603</v>
      </c>
      <c r="J17" s="15">
        <f t="shared" si="8"/>
        <v>594.92234174692032</v>
      </c>
      <c r="K17" s="15">
        <f t="shared" si="8"/>
        <v>670.70979955985683</v>
      </c>
      <c r="L17" s="15">
        <f t="shared" si="8"/>
        <v>1042.4178426940919</v>
      </c>
      <c r="M17" s="15">
        <f t="shared" si="8"/>
        <v>1222.6433132711643</v>
      </c>
      <c r="N17" s="15">
        <f t="shared" si="8"/>
        <v>1542.9886302440161</v>
      </c>
      <c r="O17" s="15">
        <f t="shared" si="8"/>
        <v>2010.0518208602871</v>
      </c>
      <c r="P17" s="15">
        <f t="shared" si="8"/>
        <v>2543.4412098642279</v>
      </c>
      <c r="Q17" s="15">
        <f t="shared" si="8"/>
        <v>3043.5701845011176</v>
      </c>
      <c r="R17" s="15">
        <f t="shared" si="8"/>
        <v>3808.0504307926931</v>
      </c>
      <c r="S17" s="28"/>
    </row>
    <row r="18" spans="1:19" x14ac:dyDescent="0.2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9" s="29" customFormat="1" x14ac:dyDescent="0.25">
      <c r="A19" s="27" t="s">
        <v>13</v>
      </c>
      <c r="B19" s="15">
        <f>B107</f>
        <v>0</v>
      </c>
      <c r="C19" s="15">
        <f t="shared" ref="C19:P19" si="9">C107</f>
        <v>0</v>
      </c>
      <c r="D19" s="15">
        <f t="shared" si="9"/>
        <v>0</v>
      </c>
      <c r="E19" s="15">
        <f t="shared" si="9"/>
        <v>0</v>
      </c>
      <c r="F19" s="15">
        <f t="shared" si="9"/>
        <v>0</v>
      </c>
      <c r="G19" s="15">
        <f t="shared" si="9"/>
        <v>0</v>
      </c>
      <c r="H19" s="15">
        <f t="shared" si="9"/>
        <v>7.4261200000000001</v>
      </c>
      <c r="I19" s="15">
        <f t="shared" si="9"/>
        <v>13.67235</v>
      </c>
      <c r="J19" s="15">
        <f t="shared" si="9"/>
        <v>77.330045952000006</v>
      </c>
      <c r="K19" s="15">
        <f t="shared" si="9"/>
        <v>65.098023656099997</v>
      </c>
      <c r="L19" s="15">
        <f t="shared" si="9"/>
        <v>38.777285003284575</v>
      </c>
      <c r="M19" s="15">
        <f t="shared" si="9"/>
        <v>64.564631740999999</v>
      </c>
      <c r="N19" s="15">
        <f t="shared" si="9"/>
        <v>69.951790605485286</v>
      </c>
      <c r="O19" s="15">
        <f t="shared" si="9"/>
        <v>475.50612041093132</v>
      </c>
      <c r="P19" s="15">
        <f t="shared" si="9"/>
        <v>529.76652785185695</v>
      </c>
      <c r="Q19" s="15">
        <f>Q107</f>
        <v>552.35437422823713</v>
      </c>
      <c r="R19" s="15">
        <f>R107</f>
        <v>551.31604457161336</v>
      </c>
    </row>
    <row r="20" spans="1:19" x14ac:dyDescent="0.25">
      <c r="A20" s="25"/>
      <c r="B20" s="26"/>
      <c r="C20" s="26"/>
      <c r="D20" s="26"/>
      <c r="E20" s="26"/>
      <c r="F20" s="26"/>
      <c r="G20" s="26"/>
      <c r="H20" s="26"/>
      <c r="I20" s="30"/>
      <c r="J20" s="26"/>
      <c r="K20" s="26"/>
      <c r="L20" s="26"/>
      <c r="M20" s="31"/>
      <c r="O20" s="32"/>
      <c r="P20" s="26"/>
    </row>
    <row r="21" spans="1:19" x14ac:dyDescent="0.25">
      <c r="A21" s="33" t="s">
        <v>14</v>
      </c>
      <c r="B21" s="34">
        <f>B22+B23</f>
        <v>100</v>
      </c>
      <c r="C21" s="34">
        <f t="shared" ref="C21:R21" si="10">C22+C23</f>
        <v>100.00000000000001</v>
      </c>
      <c r="D21" s="34">
        <f t="shared" si="10"/>
        <v>100.00000000000001</v>
      </c>
      <c r="E21" s="34">
        <f t="shared" si="10"/>
        <v>100</v>
      </c>
      <c r="F21" s="34">
        <f t="shared" si="10"/>
        <v>100</v>
      </c>
      <c r="G21" s="34">
        <f t="shared" si="10"/>
        <v>100</v>
      </c>
      <c r="H21" s="34">
        <f t="shared" si="10"/>
        <v>100</v>
      </c>
      <c r="I21" s="34">
        <f t="shared" si="10"/>
        <v>100</v>
      </c>
      <c r="J21" s="34">
        <f t="shared" si="10"/>
        <v>100.00000000000001</v>
      </c>
      <c r="K21" s="34">
        <f t="shared" si="10"/>
        <v>100</v>
      </c>
      <c r="L21" s="34">
        <f t="shared" si="10"/>
        <v>100</v>
      </c>
      <c r="M21" s="34">
        <f t="shared" si="10"/>
        <v>99.999999999999986</v>
      </c>
      <c r="N21" s="34">
        <f t="shared" si="10"/>
        <v>99.999999999999986</v>
      </c>
      <c r="O21" s="34">
        <f t="shared" si="10"/>
        <v>100</v>
      </c>
      <c r="P21" s="34">
        <f t="shared" si="10"/>
        <v>100.00000000000001</v>
      </c>
      <c r="Q21" s="34">
        <f t="shared" si="10"/>
        <v>99.999999999999986</v>
      </c>
      <c r="R21" s="34">
        <f t="shared" si="10"/>
        <v>100</v>
      </c>
    </row>
    <row r="22" spans="1:19" x14ac:dyDescent="0.25">
      <c r="A22" s="25" t="s">
        <v>15</v>
      </c>
      <c r="B22" s="35">
        <v>13.326333393074519</v>
      </c>
      <c r="C22" s="35">
        <v>13.654051249726521</v>
      </c>
      <c r="D22" s="35">
        <v>14.379695775027566</v>
      </c>
      <c r="E22" s="35">
        <v>35.888799109001113</v>
      </c>
      <c r="F22" s="35">
        <v>36.755877300572472</v>
      </c>
      <c r="G22" s="35">
        <v>29.276944075997296</v>
      </c>
      <c r="H22" s="35">
        <v>29.698660870638623</v>
      </c>
      <c r="I22" s="35">
        <v>32.157811362398512</v>
      </c>
      <c r="J22" s="35">
        <v>23.465168850040026</v>
      </c>
      <c r="K22" s="35">
        <v>26.747201713844255</v>
      </c>
      <c r="L22" s="35">
        <v>23.045772525655771</v>
      </c>
      <c r="M22" s="35">
        <v>24.19123053870014</v>
      </c>
      <c r="N22" s="35">
        <v>24.662018651986788</v>
      </c>
      <c r="O22" s="35">
        <v>22.116728879449294</v>
      </c>
      <c r="P22" s="35">
        <v>20.997188172850283</v>
      </c>
      <c r="Q22" s="35">
        <v>19.749536596314059</v>
      </c>
      <c r="R22" s="35">
        <v>20.232805367371604</v>
      </c>
    </row>
    <row r="23" spans="1:19" x14ac:dyDescent="0.25">
      <c r="A23" s="25" t="s">
        <v>16</v>
      </c>
      <c r="B23" s="35">
        <v>86.67366660692548</v>
      </c>
      <c r="C23" s="35">
        <v>86.345948750273493</v>
      </c>
      <c r="D23" s="35">
        <v>85.620304224972443</v>
      </c>
      <c r="E23" s="35">
        <v>64.111200890998887</v>
      </c>
      <c r="F23" s="35">
        <v>63.244122699427528</v>
      </c>
      <c r="G23" s="35">
        <v>70.723055924002708</v>
      </c>
      <c r="H23" s="35">
        <v>70.301339129361381</v>
      </c>
      <c r="I23" s="35">
        <v>67.842188637601481</v>
      </c>
      <c r="J23" s="35">
        <v>76.534831149959984</v>
      </c>
      <c r="K23" s="35">
        <v>73.252798286155738</v>
      </c>
      <c r="L23" s="35">
        <v>76.954227474344222</v>
      </c>
      <c r="M23" s="35">
        <v>75.808769461299846</v>
      </c>
      <c r="N23" s="35">
        <v>75.337981348013201</v>
      </c>
      <c r="O23" s="35">
        <v>77.883271120550702</v>
      </c>
      <c r="P23" s="35">
        <v>79.002811827149728</v>
      </c>
      <c r="Q23" s="35">
        <v>80.250463403685927</v>
      </c>
      <c r="R23" s="35">
        <v>79.767194632628403</v>
      </c>
    </row>
    <row r="24" spans="1:19" x14ac:dyDescent="0.25">
      <c r="A24" s="25"/>
      <c r="B24" s="26"/>
      <c r="C24" s="26"/>
      <c r="D24" s="26"/>
      <c r="E24" s="26"/>
      <c r="F24" s="26"/>
      <c r="G24" s="26"/>
      <c r="H24" s="26"/>
      <c r="I24" s="30"/>
      <c r="J24" s="26"/>
      <c r="K24" s="26"/>
      <c r="L24" s="26"/>
      <c r="O24" s="32"/>
      <c r="P24" s="26"/>
    </row>
    <row r="25" spans="1:19" x14ac:dyDescent="0.25">
      <c r="A25" s="23" t="s">
        <v>17</v>
      </c>
      <c r="B25" s="26"/>
      <c r="C25" s="26"/>
      <c r="D25" s="26"/>
      <c r="E25" s="26"/>
      <c r="F25" s="26"/>
      <c r="G25" s="26"/>
      <c r="H25" s="26"/>
      <c r="I25" s="30"/>
      <c r="J25" s="26"/>
      <c r="K25" s="26"/>
      <c r="L25" s="26"/>
      <c r="M25" s="36"/>
      <c r="N25" s="36"/>
      <c r="O25" s="37"/>
      <c r="P25" s="38"/>
    </row>
    <row r="26" spans="1:19" s="29" customFormat="1" x14ac:dyDescent="0.25">
      <c r="A26" s="39" t="s">
        <v>18</v>
      </c>
      <c r="B26" s="15">
        <f>B27+B28</f>
        <v>130.17699999999999</v>
      </c>
      <c r="C26" s="15">
        <f t="shared" ref="C26:P26" si="11">C27+C28</f>
        <v>149.86500000000001</v>
      </c>
      <c r="D26" s="15">
        <f t="shared" si="11"/>
        <v>138.27199999999999</v>
      </c>
      <c r="E26" s="15">
        <f t="shared" si="11"/>
        <v>147.34100000000001</v>
      </c>
      <c r="F26" s="15">
        <f t="shared" si="11"/>
        <v>180.23582999999996</v>
      </c>
      <c r="G26" s="15">
        <f t="shared" si="11"/>
        <v>154.02658000000002</v>
      </c>
      <c r="H26" s="15">
        <f t="shared" si="11"/>
        <v>177.75500000000002</v>
      </c>
      <c r="I26" s="15">
        <f t="shared" si="11"/>
        <v>218.89999999999998</v>
      </c>
      <c r="J26" s="15">
        <f t="shared" si="11"/>
        <v>182.4</v>
      </c>
      <c r="K26" s="15">
        <f t="shared" si="11"/>
        <v>244.89999999999998</v>
      </c>
      <c r="L26" s="15">
        <f t="shared" si="11"/>
        <v>312.17679999999996</v>
      </c>
      <c r="M26" s="15">
        <f t="shared" si="11"/>
        <v>390.15600000000006</v>
      </c>
      <c r="N26" s="15">
        <f t="shared" si="11"/>
        <v>505.09999999999997</v>
      </c>
      <c r="O26" s="15">
        <f t="shared" si="11"/>
        <v>570.80000000000007</v>
      </c>
      <c r="P26" s="15">
        <f t="shared" si="11"/>
        <v>675.99003699952164</v>
      </c>
      <c r="Q26" s="15">
        <f>Q27+Q28</f>
        <v>749.01873699952148</v>
      </c>
      <c r="R26" s="15">
        <f>R27+R28</f>
        <v>965.7056157922716</v>
      </c>
      <c r="S26" s="40"/>
    </row>
    <row r="27" spans="1:19" x14ac:dyDescent="0.25">
      <c r="A27" s="41" t="s">
        <v>19</v>
      </c>
      <c r="B27" s="26">
        <v>110.877</v>
      </c>
      <c r="C27" s="26">
        <v>117.86499999999999</v>
      </c>
      <c r="D27" s="26">
        <v>119.77200000000001</v>
      </c>
      <c r="E27" s="26">
        <v>112.84099999999999</v>
      </c>
      <c r="F27" s="26">
        <f>'[1]Dom. Debt Stock for (Fred temp)'!B40+'[1]Dom. Debt Stock for (Fred temp)'!B39</f>
        <v>150.09862999999996</v>
      </c>
      <c r="G27" s="26">
        <f>'[1]Dom. Debt Stock for (Fred temp)'!C40+'[1]Dom. Debt Stock for (Fred temp)'!C39</f>
        <v>135.92124000000001</v>
      </c>
      <c r="H27" s="26">
        <f>'[1]Dom. Debt Stock for (Fred temp)'!D40+'[1]Dom. Debt Stock for (Fred temp)'!D39</f>
        <v>163.45500000000001</v>
      </c>
      <c r="I27" s="26">
        <f>'[1]Dom. Debt Stock for (Fred temp)'!E40+'[1]Dom. Debt Stock for (Fred temp)'!E39</f>
        <v>151.19999999999999</v>
      </c>
      <c r="J27" s="26">
        <f>'[1]Dom. Debt Stock for (Fred temp)'!F40+'[1]Dom. Debt Stock for (Fred temp)'!F39</f>
        <v>105.2</v>
      </c>
      <c r="K27" s="26">
        <f>'[1]Dom. Debt Stock for (Fred temp)'!G40+'[1]Dom. Debt Stock for (Fred temp)'!G39</f>
        <v>180.39999999999998</v>
      </c>
      <c r="L27" s="26">
        <f>'[1]Dom. Debt Stock for (Fred temp)'!H40+'[1]Dom. Debt Stock for (Fred temp)'!H39</f>
        <v>159.62019999999995</v>
      </c>
      <c r="M27" s="26">
        <f>'[1]Dom. Debt Stock for (Fred temp)'!I40+'[1]Dom. Debt Stock for (Fred temp)'!I39</f>
        <v>226.25600000000006</v>
      </c>
      <c r="N27" s="26">
        <f>'[1]Dom. Debt Stock for (Fred temp)'!J40+'[1]Dom. Debt Stock for (Fred temp)'!J39</f>
        <v>247.29999999999995</v>
      </c>
      <c r="O27" s="26">
        <f>'[1]Dom. Debt Stock for (Fred temp)'!K40+'[1]Dom. Debt Stock for (Fred temp)'!K39</f>
        <v>331.80000000000007</v>
      </c>
      <c r="P27" s="26">
        <f>'[1]Dom. Debt Stock for (Fred temp)'!M40+'[1]Dom. Debt Stock for (Fred temp)'!M39</f>
        <v>372.32873699952165</v>
      </c>
      <c r="Q27" s="26">
        <f>'[1]Dom. Debt Stock for (Fred temp)'!N40+'[1]Dom. Debt Stock for (Fred temp)'!N39</f>
        <v>422.01873699952148</v>
      </c>
      <c r="R27" s="26">
        <v>574.88441579227151</v>
      </c>
      <c r="S27" s="42"/>
    </row>
    <row r="28" spans="1:19" x14ac:dyDescent="0.25">
      <c r="A28" s="41" t="s">
        <v>20</v>
      </c>
      <c r="B28" s="26">
        <v>19.3</v>
      </c>
      <c r="C28" s="26">
        <v>32</v>
      </c>
      <c r="D28" s="26">
        <v>18.5</v>
      </c>
      <c r="E28" s="26">
        <v>34.5</v>
      </c>
      <c r="F28" s="26">
        <f>'[1]Dom. Debt Stock for (Fred temp)'!B38</f>
        <v>30.1372</v>
      </c>
      <c r="G28" s="26">
        <f>'[1]Dom. Debt Stock for (Fred temp)'!C38</f>
        <v>18.105340000000002</v>
      </c>
      <c r="H28" s="26">
        <f>'[1]Dom. Debt Stock for (Fred temp)'!D38</f>
        <v>14.3</v>
      </c>
      <c r="I28" s="26">
        <f>'[1]Dom. Debt Stock for (Fred temp)'!E38</f>
        <v>67.7</v>
      </c>
      <c r="J28" s="26">
        <f>'[1]Dom. Debt Stock for (Fred temp)'!F38</f>
        <v>77.2</v>
      </c>
      <c r="K28" s="26">
        <f>'[1]Dom. Debt Stock for (Fred temp)'!G38</f>
        <v>64.5</v>
      </c>
      <c r="L28" s="26">
        <f>'[1]Dom. Debt Stock for (Fred temp)'!H38</f>
        <v>152.5566</v>
      </c>
      <c r="M28" s="26">
        <f>'[1]Dom. Debt Stock for (Fred temp)'!I38</f>
        <v>163.9</v>
      </c>
      <c r="N28" s="26">
        <f>'[1]Dom. Debt Stock for (Fred temp)'!J38</f>
        <v>257.8</v>
      </c>
      <c r="O28" s="26">
        <f>'[1]Dom. Debt Stock for (Fred temp)'!K38</f>
        <v>239</v>
      </c>
      <c r="P28" s="26">
        <f>'[1]Dom. Debt Stock for (Fred temp)'!M38</f>
        <v>303.66129999999998</v>
      </c>
      <c r="Q28" s="26">
        <f>'[1]Dom. Debt Stock for (Fred temp)'!N38</f>
        <v>327</v>
      </c>
      <c r="R28" s="26">
        <v>390.82120000000003</v>
      </c>
      <c r="S28" s="42"/>
    </row>
    <row r="29" spans="1:19" x14ac:dyDescent="0.25">
      <c r="A29" s="41" t="s">
        <v>21</v>
      </c>
      <c r="B29" s="26">
        <f t="shared" ref="B29:R29" si="12">(B26/B104)*1000</f>
        <v>224.33480388777832</v>
      </c>
      <c r="C29" s="26">
        <f t="shared" si="12"/>
        <v>264.37744769431612</v>
      </c>
      <c r="D29" s="26">
        <f t="shared" si="12"/>
        <v>249.71524349818776</v>
      </c>
      <c r="E29" s="26">
        <f t="shared" si="12"/>
        <v>268.55190011847264</v>
      </c>
      <c r="F29" s="26">
        <f t="shared" si="12"/>
        <v>331.18176092659297</v>
      </c>
      <c r="G29" s="26">
        <f t="shared" si="12"/>
        <v>275.59003216153235</v>
      </c>
      <c r="H29" s="26">
        <f t="shared" si="12"/>
        <v>311.17393739934181</v>
      </c>
      <c r="I29" s="26">
        <f t="shared" si="12"/>
        <v>368.23954916309185</v>
      </c>
      <c r="J29" s="26">
        <f t="shared" si="12"/>
        <v>301.91628250799158</v>
      </c>
      <c r="K29" s="26">
        <f t="shared" si="12"/>
        <v>387.8641559594264</v>
      </c>
      <c r="L29" s="26">
        <f t="shared" si="12"/>
        <v>465.88175893773234</v>
      </c>
      <c r="M29" s="26">
        <f t="shared" si="12"/>
        <v>561.88148676367996</v>
      </c>
      <c r="N29" s="26">
        <f t="shared" si="12"/>
        <v>675.80324647958889</v>
      </c>
      <c r="O29" s="26">
        <f t="shared" si="12"/>
        <v>696.27657877872048</v>
      </c>
      <c r="P29" s="26">
        <f t="shared" si="12"/>
        <v>799.99104967179971</v>
      </c>
      <c r="Q29" s="26">
        <f t="shared" si="12"/>
        <v>852.02820194161416</v>
      </c>
      <c r="R29" s="26">
        <f t="shared" si="12"/>
        <v>1046.2048910303754</v>
      </c>
      <c r="S29" s="43"/>
    </row>
    <row r="30" spans="1:19" x14ac:dyDescent="0.25">
      <c r="A30" s="44"/>
      <c r="B30" s="26"/>
      <c r="C30" s="26"/>
      <c r="D30" s="26"/>
      <c r="E30" s="26"/>
      <c r="F30" s="26"/>
      <c r="G30" s="26"/>
      <c r="H30" s="26"/>
      <c r="I30" s="30"/>
      <c r="J30" s="26"/>
      <c r="K30" s="26"/>
      <c r="L30" s="26"/>
      <c r="O30" s="32"/>
      <c r="P30" s="26"/>
    </row>
    <row r="31" spans="1:19" x14ac:dyDescent="0.25">
      <c r="A31" s="23" t="s">
        <v>22</v>
      </c>
      <c r="B31" s="26"/>
      <c r="C31" s="26"/>
      <c r="D31" s="26"/>
      <c r="E31" s="26"/>
      <c r="F31" s="26"/>
      <c r="G31" s="26"/>
      <c r="H31" s="26"/>
      <c r="I31" s="30"/>
      <c r="J31" s="26"/>
      <c r="K31" s="26"/>
      <c r="L31" s="26"/>
      <c r="O31" s="32"/>
      <c r="P31" s="26"/>
    </row>
    <row r="32" spans="1:19" x14ac:dyDescent="0.25">
      <c r="A32" s="33" t="s">
        <v>23</v>
      </c>
      <c r="B32" s="26">
        <v>1459.06</v>
      </c>
      <c r="C32" s="26">
        <v>1671.83</v>
      </c>
      <c r="D32" s="26">
        <v>1486.74</v>
      </c>
      <c r="E32" s="26">
        <v>479.48</v>
      </c>
      <c r="F32" s="26">
        <v>569.77</v>
      </c>
      <c r="G32" s="26">
        <v>665.65</v>
      </c>
      <c r="H32" s="26">
        <v>736.52</v>
      </c>
      <c r="I32" s="11">
        <v>777.3</v>
      </c>
      <c r="J32" s="26">
        <v>984.8</v>
      </c>
      <c r="K32" s="26">
        <v>1062.251</v>
      </c>
      <c r="L32" s="26">
        <v>1555.665</v>
      </c>
      <c r="M32" s="26">
        <v>1760.7685200000001</v>
      </c>
      <c r="N32" s="26">
        <v>2064.4560000000001</v>
      </c>
      <c r="O32" s="26">
        <v>2452.6014481840548</v>
      </c>
      <c r="P32" s="26">
        <f>SUM(P33:P35)</f>
        <v>3010.0002838640003</v>
      </c>
      <c r="Q32" s="26">
        <f>SUM(Q33:Q35)</f>
        <v>3462.1398687189994</v>
      </c>
      <c r="R32" s="26">
        <f>SUM(R33:R35)</f>
        <v>4125.4818454349997</v>
      </c>
    </row>
    <row r="33" spans="1:18" x14ac:dyDescent="0.25">
      <c r="A33" s="25" t="s">
        <v>24</v>
      </c>
      <c r="B33" s="26" t="s">
        <v>25</v>
      </c>
      <c r="C33" s="26" t="s">
        <v>25</v>
      </c>
      <c r="D33" s="26" t="s">
        <v>25</v>
      </c>
      <c r="E33" s="26" t="s">
        <v>25</v>
      </c>
      <c r="F33" s="26" t="s">
        <v>25</v>
      </c>
      <c r="G33" s="26" t="s">
        <v>25</v>
      </c>
      <c r="H33" s="26" t="s">
        <v>25</v>
      </c>
      <c r="I33" s="11" t="s">
        <v>25</v>
      </c>
      <c r="J33" s="26" t="s">
        <v>25</v>
      </c>
      <c r="K33" s="26" t="s">
        <v>25</v>
      </c>
      <c r="L33" s="26" t="s">
        <v>25</v>
      </c>
      <c r="M33" s="26" t="s">
        <v>25</v>
      </c>
      <c r="N33" s="26" t="s">
        <v>25</v>
      </c>
      <c r="O33" s="26" t="s">
        <v>25</v>
      </c>
      <c r="P33" s="26" t="s">
        <v>25</v>
      </c>
      <c r="Q33" s="26" t="s">
        <v>25</v>
      </c>
      <c r="R33" s="26" t="s">
        <v>25</v>
      </c>
    </row>
    <row r="34" spans="1:18" x14ac:dyDescent="0.25">
      <c r="A34" s="25" t="s">
        <v>26</v>
      </c>
      <c r="B34" s="26" t="s">
        <v>25</v>
      </c>
      <c r="C34" s="26" t="s">
        <v>25</v>
      </c>
      <c r="D34" s="26" t="s">
        <v>25</v>
      </c>
      <c r="E34" s="26" t="s">
        <v>25</v>
      </c>
      <c r="F34" s="26" t="s">
        <v>25</v>
      </c>
      <c r="G34" s="26" t="s">
        <v>25</v>
      </c>
      <c r="H34" s="26" t="s">
        <v>25</v>
      </c>
      <c r="I34" s="11" t="s">
        <v>25</v>
      </c>
      <c r="J34" s="26" t="s">
        <v>25</v>
      </c>
      <c r="K34" s="26" t="s">
        <v>25</v>
      </c>
      <c r="L34" s="26" t="s">
        <v>25</v>
      </c>
      <c r="M34" s="26" t="s">
        <v>25</v>
      </c>
      <c r="N34" s="26" t="s">
        <v>25</v>
      </c>
      <c r="O34" s="26" t="s">
        <v>25</v>
      </c>
      <c r="P34" s="26" t="s">
        <v>25</v>
      </c>
      <c r="Q34" s="26" t="s">
        <v>25</v>
      </c>
      <c r="R34" s="26" t="s">
        <v>25</v>
      </c>
    </row>
    <row r="35" spans="1:18" x14ac:dyDescent="0.25">
      <c r="A35" s="25" t="s">
        <v>27</v>
      </c>
      <c r="B35" s="26">
        <v>1459.06</v>
      </c>
      <c r="C35" s="26">
        <v>1671.83</v>
      </c>
      <c r="D35" s="26">
        <v>1486.74</v>
      </c>
      <c r="E35" s="26">
        <v>479.48</v>
      </c>
      <c r="F35" s="26">
        <v>569.77</v>
      </c>
      <c r="G35" s="26">
        <v>665.65</v>
      </c>
      <c r="H35" s="26">
        <v>736.52</v>
      </c>
      <c r="I35" s="11">
        <v>777.3</v>
      </c>
      <c r="J35" s="26">
        <v>984.8</v>
      </c>
      <c r="K35" s="26">
        <v>1062.251</v>
      </c>
      <c r="L35" s="26">
        <v>1555.665</v>
      </c>
      <c r="M35" s="26">
        <v>1760.7685200000001</v>
      </c>
      <c r="N35" s="26">
        <v>2064.4560000000001</v>
      </c>
      <c r="O35" s="26">
        <v>2452.6014481840548</v>
      </c>
      <c r="P35" s="26">
        <v>3010.0002838640003</v>
      </c>
      <c r="Q35" s="26">
        <f>Q16</f>
        <v>3462.1398687189994</v>
      </c>
      <c r="R35" s="26">
        <v>4125.4818454349997</v>
      </c>
    </row>
    <row r="36" spans="1:18" x14ac:dyDescent="0.25">
      <c r="A36" s="44"/>
      <c r="B36" s="26"/>
      <c r="C36" s="26"/>
      <c r="D36" s="26"/>
      <c r="E36" s="26"/>
      <c r="F36" s="26"/>
      <c r="G36" s="26"/>
      <c r="H36" s="26"/>
      <c r="I36" s="30"/>
      <c r="J36" s="26"/>
      <c r="K36" s="26"/>
      <c r="L36" s="26"/>
      <c r="O36" s="45"/>
      <c r="P36" s="26"/>
    </row>
    <row r="37" spans="1:18" x14ac:dyDescent="0.25">
      <c r="A37" s="33" t="s">
        <v>28</v>
      </c>
      <c r="B37" s="26">
        <v>1459.0600000000002</v>
      </c>
      <c r="C37" s="26">
        <v>1671.8300000000002</v>
      </c>
      <c r="D37" s="26">
        <v>1486.74</v>
      </c>
      <c r="E37" s="26">
        <v>479.47999999999996</v>
      </c>
      <c r="F37" s="26">
        <v>569.77</v>
      </c>
      <c r="G37" s="26">
        <v>665.65</v>
      </c>
      <c r="H37" s="26">
        <v>736.52</v>
      </c>
      <c r="I37" s="11">
        <v>777.3</v>
      </c>
      <c r="J37" s="26">
        <v>984.8</v>
      </c>
      <c r="K37" s="26">
        <v>1062.251</v>
      </c>
      <c r="L37" s="26">
        <v>1555.665</v>
      </c>
      <c r="M37" s="26">
        <v>1760.7685200000001</v>
      </c>
      <c r="N37" s="26">
        <v>2064.4631444950001</v>
      </c>
      <c r="O37" s="26">
        <v>2452.6014481840548</v>
      </c>
      <c r="P37" s="26">
        <f>SUM(P38:P42)</f>
        <v>3010.0002838640003</v>
      </c>
      <c r="Q37" s="26">
        <f>SUM(Q38:Q42)</f>
        <v>3462.1398687199999</v>
      </c>
      <c r="R37" s="26">
        <f>SUM(R38:R42)</f>
        <v>4125.4818454349988</v>
      </c>
    </row>
    <row r="38" spans="1:18" x14ac:dyDescent="0.25">
      <c r="A38" s="25" t="s">
        <v>29</v>
      </c>
      <c r="B38" s="26">
        <v>1310.4100000000001</v>
      </c>
      <c r="C38" s="26">
        <v>1518.16</v>
      </c>
      <c r="D38" s="26">
        <v>1402.81</v>
      </c>
      <c r="E38" s="26">
        <v>390.03</v>
      </c>
      <c r="F38" s="26">
        <v>485.66</v>
      </c>
      <c r="G38" s="26">
        <v>580.52</v>
      </c>
      <c r="H38" s="26">
        <v>628.26</v>
      </c>
      <c r="I38" s="11">
        <v>651.03</v>
      </c>
      <c r="J38" s="26">
        <v>833.1</v>
      </c>
      <c r="K38" s="26">
        <v>890.67299999999989</v>
      </c>
      <c r="L38" s="26">
        <v>939.04200000000003</v>
      </c>
      <c r="M38" s="26">
        <v>1108.6621</v>
      </c>
      <c r="N38" s="26">
        <v>1369.872356418</v>
      </c>
      <c r="O38" s="26">
        <v>1744.3509093220755</v>
      </c>
      <c r="P38" s="26">
        <v>2257.5120131510002</v>
      </c>
      <c r="Q38" s="26">
        <v>2680.5669381600001</v>
      </c>
      <c r="R38" s="26">
        <v>3239.5611276039995</v>
      </c>
    </row>
    <row r="39" spans="1:18" x14ac:dyDescent="0.25">
      <c r="A39" s="25" t="s">
        <v>30</v>
      </c>
      <c r="B39" s="26">
        <v>148.65</v>
      </c>
      <c r="C39" s="26">
        <v>153.66999999999999</v>
      </c>
      <c r="D39" s="26">
        <v>83.93</v>
      </c>
      <c r="E39" s="26">
        <v>89.45</v>
      </c>
      <c r="F39" s="26">
        <v>84.11</v>
      </c>
      <c r="G39" s="26">
        <v>85.13</v>
      </c>
      <c r="H39" s="26">
        <v>108.26</v>
      </c>
      <c r="I39" s="11">
        <v>126.27</v>
      </c>
      <c r="J39" s="26">
        <v>151.69999999999999</v>
      </c>
      <c r="K39" s="26">
        <v>171.578</v>
      </c>
      <c r="L39" s="26">
        <v>216.62299999999999</v>
      </c>
      <c r="M39" s="26">
        <v>252.10642000000001</v>
      </c>
      <c r="N39" s="26">
        <v>294.59078807699996</v>
      </c>
      <c r="O39" s="26">
        <v>308.25053886197946</v>
      </c>
      <c r="P39" s="26">
        <v>352.48827071300002</v>
      </c>
      <c r="Q39" s="26">
        <v>381.57293055999997</v>
      </c>
      <c r="R39" s="26">
        <v>485.92071783099999</v>
      </c>
    </row>
    <row r="40" spans="1:18" x14ac:dyDescent="0.25">
      <c r="A40" s="25" t="s">
        <v>31</v>
      </c>
      <c r="B40" s="26" t="s">
        <v>25</v>
      </c>
      <c r="C40" s="26" t="s">
        <v>25</v>
      </c>
      <c r="D40" s="26" t="s">
        <v>25</v>
      </c>
      <c r="E40" s="26" t="s">
        <v>25</v>
      </c>
      <c r="F40" s="26" t="s">
        <v>25</v>
      </c>
      <c r="G40" s="26" t="s">
        <v>25</v>
      </c>
      <c r="H40" s="26" t="s">
        <v>25</v>
      </c>
      <c r="I40" s="30" t="s">
        <v>25</v>
      </c>
      <c r="J40" s="26" t="s">
        <v>25</v>
      </c>
      <c r="K40" s="26" t="s">
        <v>25</v>
      </c>
      <c r="L40" s="26" t="s">
        <v>25</v>
      </c>
      <c r="M40" s="26" t="s">
        <v>25</v>
      </c>
      <c r="N40" s="26" t="s">
        <v>25</v>
      </c>
      <c r="O40" s="26" t="s">
        <v>25</v>
      </c>
      <c r="P40" s="26" t="s">
        <v>25</v>
      </c>
      <c r="Q40" s="26" t="s">
        <v>25</v>
      </c>
      <c r="R40" s="26" t="s">
        <v>25</v>
      </c>
    </row>
    <row r="41" spans="1:18" x14ac:dyDescent="0.25">
      <c r="A41" s="25" t="s">
        <v>32</v>
      </c>
      <c r="B41" s="26" t="s">
        <v>25</v>
      </c>
      <c r="C41" s="26" t="s">
        <v>25</v>
      </c>
      <c r="D41" s="26" t="s">
        <v>25</v>
      </c>
      <c r="E41" s="26" t="s">
        <v>25</v>
      </c>
      <c r="F41" s="26" t="s">
        <v>25</v>
      </c>
      <c r="G41" s="26" t="s">
        <v>25</v>
      </c>
      <c r="H41" s="26" t="s">
        <v>25</v>
      </c>
      <c r="I41" s="30" t="s">
        <v>25</v>
      </c>
      <c r="J41" s="26" t="s">
        <v>25</v>
      </c>
      <c r="K41" s="26" t="s">
        <v>25</v>
      </c>
      <c r="L41" s="26">
        <v>400</v>
      </c>
      <c r="M41" s="26">
        <v>400</v>
      </c>
      <c r="N41" s="26">
        <v>400</v>
      </c>
      <c r="O41" s="26">
        <v>400</v>
      </c>
      <c r="P41" s="26">
        <v>400</v>
      </c>
      <c r="Q41" s="26">
        <v>400</v>
      </c>
      <c r="R41" s="26">
        <v>400</v>
      </c>
    </row>
    <row r="42" spans="1:18" x14ac:dyDescent="0.25">
      <c r="A42" s="25" t="s">
        <v>33</v>
      </c>
      <c r="B42" s="26" t="s">
        <v>25</v>
      </c>
      <c r="C42" s="26" t="s">
        <v>25</v>
      </c>
      <c r="D42" s="26" t="s">
        <v>25</v>
      </c>
      <c r="E42" s="26" t="s">
        <v>25</v>
      </c>
      <c r="F42" s="26" t="s">
        <v>25</v>
      </c>
      <c r="G42" s="26" t="s">
        <v>25</v>
      </c>
      <c r="H42" s="26" t="s">
        <v>25</v>
      </c>
      <c r="I42" s="30" t="s">
        <v>25</v>
      </c>
      <c r="J42" s="26" t="s">
        <v>25</v>
      </c>
      <c r="K42" s="26" t="s">
        <v>25</v>
      </c>
      <c r="L42" s="26" t="s">
        <v>25</v>
      </c>
      <c r="M42" s="26" t="s">
        <v>25</v>
      </c>
      <c r="N42" s="26" t="s">
        <v>25</v>
      </c>
      <c r="O42" s="26" t="s">
        <v>25</v>
      </c>
      <c r="P42" s="26" t="s">
        <v>25</v>
      </c>
      <c r="Q42" s="26" t="s">
        <v>25</v>
      </c>
      <c r="R42" s="26" t="s">
        <v>25</v>
      </c>
    </row>
    <row r="43" spans="1:18" x14ac:dyDescent="0.25">
      <c r="A43" s="25"/>
      <c r="B43" s="26"/>
      <c r="C43" s="26"/>
      <c r="D43" s="26"/>
      <c r="E43" s="26"/>
      <c r="F43" s="26"/>
      <c r="G43" s="26"/>
      <c r="H43" s="26"/>
      <c r="I43" s="30"/>
      <c r="J43" s="26"/>
      <c r="K43" s="26"/>
      <c r="L43" s="26"/>
      <c r="O43" s="32"/>
      <c r="P43" s="26"/>
    </row>
    <row r="44" spans="1:18" x14ac:dyDescent="0.25">
      <c r="A44" s="46" t="s">
        <v>34</v>
      </c>
      <c r="B44" s="26"/>
      <c r="C44" s="26"/>
      <c r="D44" s="26"/>
      <c r="E44" s="26"/>
      <c r="F44" s="26"/>
      <c r="G44" s="26"/>
      <c r="H44" s="26"/>
      <c r="I44" s="30"/>
      <c r="J44" s="26"/>
      <c r="K44" s="26"/>
      <c r="L44" s="26"/>
      <c r="O44" s="32"/>
      <c r="P44" s="26"/>
    </row>
    <row r="45" spans="1:18" x14ac:dyDescent="0.25">
      <c r="A45" s="33" t="s">
        <v>35</v>
      </c>
      <c r="B45" s="26">
        <v>1459.0600000000002</v>
      </c>
      <c r="C45" s="26">
        <v>1671.8300000000002</v>
      </c>
      <c r="D45" s="26">
        <v>1486.74</v>
      </c>
      <c r="E45" s="26">
        <v>479.47999999999996</v>
      </c>
      <c r="F45" s="26">
        <v>569.77</v>
      </c>
      <c r="G45" s="26">
        <v>665.65</v>
      </c>
      <c r="H45" s="26">
        <v>736.52</v>
      </c>
      <c r="I45" s="11">
        <v>777.3</v>
      </c>
      <c r="J45" s="26">
        <v>984.8</v>
      </c>
      <c r="K45" s="26">
        <v>1062.251</v>
      </c>
      <c r="L45" s="26">
        <v>1555.665</v>
      </c>
      <c r="M45" s="26">
        <v>1760.7685200000001</v>
      </c>
      <c r="N45" s="26">
        <v>2064.4631444950001</v>
      </c>
      <c r="O45" s="26">
        <v>2452.6014481840548</v>
      </c>
      <c r="P45" s="26">
        <f>SUM(P46:P48)</f>
        <v>3010.0002838640003</v>
      </c>
      <c r="Q45" s="26">
        <f>SUM(Q46:Q48)</f>
        <v>3462.1398687199999</v>
      </c>
      <c r="R45" s="26">
        <f>SUM(R46:R48)</f>
        <v>4125.4818454349988</v>
      </c>
    </row>
    <row r="46" spans="1:18" x14ac:dyDescent="0.25">
      <c r="A46" s="25" t="s">
        <v>29</v>
      </c>
      <c r="B46" s="26">
        <v>1310.4100000000001</v>
      </c>
      <c r="C46" s="26">
        <v>1518.16</v>
      </c>
      <c r="D46" s="26">
        <v>1402.81</v>
      </c>
      <c r="E46" s="26">
        <v>390.03</v>
      </c>
      <c r="F46" s="26">
        <v>485.66</v>
      </c>
      <c r="G46" s="26">
        <v>580.52</v>
      </c>
      <c r="H46" s="26">
        <v>628.26</v>
      </c>
      <c r="I46" s="11">
        <v>651.03</v>
      </c>
      <c r="J46" s="26">
        <v>833.1</v>
      </c>
      <c r="K46" s="26">
        <v>890.67299999999989</v>
      </c>
      <c r="L46" s="26">
        <v>939.04200000000003</v>
      </c>
      <c r="M46" s="26">
        <v>1108.6621</v>
      </c>
      <c r="N46" s="26">
        <v>1369.872356418</v>
      </c>
      <c r="O46" s="26">
        <v>1744.3509093220755</v>
      </c>
      <c r="P46" s="26">
        <f>P38</f>
        <v>2257.5120131510002</v>
      </c>
      <c r="Q46" s="26">
        <v>2680.5669381600001</v>
      </c>
      <c r="R46" s="26">
        <v>3239.5611276039995</v>
      </c>
    </row>
    <row r="47" spans="1:18" x14ac:dyDescent="0.25">
      <c r="A47" s="25" t="s">
        <v>30</v>
      </c>
      <c r="B47" s="26">
        <v>148.65</v>
      </c>
      <c r="C47" s="26">
        <v>153.66999999999999</v>
      </c>
      <c r="D47" s="26">
        <v>83.93</v>
      </c>
      <c r="E47" s="26">
        <v>89.45</v>
      </c>
      <c r="F47" s="26">
        <v>84.11</v>
      </c>
      <c r="G47" s="26">
        <v>85.13</v>
      </c>
      <c r="H47" s="26">
        <v>108.26</v>
      </c>
      <c r="I47" s="11">
        <v>126.27</v>
      </c>
      <c r="J47" s="26">
        <v>151.69999999999999</v>
      </c>
      <c r="K47" s="26">
        <v>171.578</v>
      </c>
      <c r="L47" s="26">
        <v>216.62299999999999</v>
      </c>
      <c r="M47" s="26">
        <v>252.10642000000001</v>
      </c>
      <c r="N47" s="26">
        <v>294.59078807699996</v>
      </c>
      <c r="O47" s="26">
        <v>308.25053886197946</v>
      </c>
      <c r="P47" s="26">
        <f>P39</f>
        <v>352.48827071300002</v>
      </c>
      <c r="Q47" s="26">
        <v>381.57293055999997</v>
      </c>
      <c r="R47" s="26">
        <v>485.92071783099999</v>
      </c>
    </row>
    <row r="48" spans="1:18" x14ac:dyDescent="0.25">
      <c r="A48" s="25" t="s">
        <v>36</v>
      </c>
      <c r="B48" s="26" t="s">
        <v>25</v>
      </c>
      <c r="C48" s="26" t="s">
        <v>25</v>
      </c>
      <c r="D48" s="26" t="s">
        <v>25</v>
      </c>
      <c r="E48" s="26" t="s">
        <v>25</v>
      </c>
      <c r="F48" s="26" t="s">
        <v>25</v>
      </c>
      <c r="G48" s="26" t="s">
        <v>25</v>
      </c>
      <c r="H48" s="26" t="s">
        <v>25</v>
      </c>
      <c r="I48" s="30" t="s">
        <v>25</v>
      </c>
      <c r="J48" s="26" t="s">
        <v>25</v>
      </c>
      <c r="K48" s="26" t="s">
        <v>25</v>
      </c>
      <c r="L48" s="26">
        <v>400</v>
      </c>
      <c r="M48" s="26">
        <v>400</v>
      </c>
      <c r="N48" s="26">
        <v>400</v>
      </c>
      <c r="O48" s="26">
        <v>400</v>
      </c>
      <c r="P48" s="26">
        <f>P41</f>
        <v>400</v>
      </c>
      <c r="Q48" s="26">
        <f>Q41</f>
        <v>400</v>
      </c>
      <c r="R48" s="26">
        <v>400</v>
      </c>
    </row>
    <row r="49" spans="1:19" x14ac:dyDescent="0.25">
      <c r="A49" s="25"/>
      <c r="B49" s="26"/>
      <c r="C49" s="26"/>
      <c r="D49" s="26"/>
      <c r="E49" s="26"/>
      <c r="F49" s="26"/>
      <c r="G49" s="26"/>
      <c r="H49" s="26"/>
      <c r="I49" s="30"/>
      <c r="J49" s="26"/>
      <c r="K49" s="26"/>
      <c r="L49" s="26"/>
      <c r="O49" s="45"/>
      <c r="P49" s="26"/>
    </row>
    <row r="50" spans="1:19" x14ac:dyDescent="0.25">
      <c r="A50" s="33" t="s">
        <v>37</v>
      </c>
      <c r="B50" s="26">
        <v>1459.06</v>
      </c>
      <c r="C50" s="26">
        <v>1671.83</v>
      </c>
      <c r="D50" s="26">
        <v>1486.74</v>
      </c>
      <c r="E50" s="26">
        <v>479.48</v>
      </c>
      <c r="F50" s="26">
        <v>569.77</v>
      </c>
      <c r="G50" s="26">
        <v>665.65</v>
      </c>
      <c r="H50" s="26">
        <v>736.52</v>
      </c>
      <c r="I50" s="11">
        <v>777.3</v>
      </c>
      <c r="J50" s="26">
        <v>984.8</v>
      </c>
      <c r="K50" s="26">
        <v>1062.251</v>
      </c>
      <c r="L50" s="26">
        <v>1555.665</v>
      </c>
      <c r="M50" s="26">
        <v>1760.7685200000001</v>
      </c>
      <c r="N50" s="26">
        <v>2064.4631444950001</v>
      </c>
      <c r="O50" s="26">
        <v>2452.6014481840548</v>
      </c>
      <c r="P50" s="26">
        <f>SUM(P51:P53)</f>
        <v>3010.0002838640003</v>
      </c>
      <c r="Q50" s="26">
        <f>SUM(Q51:Q53)</f>
        <v>3462.1398687189994</v>
      </c>
      <c r="R50" s="26">
        <f>SUM(R51:R53)</f>
        <v>4125.4818454349997</v>
      </c>
    </row>
    <row r="51" spans="1:19" x14ac:dyDescent="0.25">
      <c r="A51" s="25" t="s">
        <v>24</v>
      </c>
      <c r="B51" s="26" t="s">
        <v>25</v>
      </c>
      <c r="C51" s="26" t="s">
        <v>25</v>
      </c>
      <c r="D51" s="26" t="s">
        <v>25</v>
      </c>
      <c r="E51" s="26" t="s">
        <v>25</v>
      </c>
      <c r="F51" s="26" t="s">
        <v>25</v>
      </c>
      <c r="G51" s="26" t="s">
        <v>25</v>
      </c>
      <c r="H51" s="26" t="s">
        <v>25</v>
      </c>
      <c r="I51" s="11" t="s">
        <v>25</v>
      </c>
      <c r="J51" s="26" t="s">
        <v>25</v>
      </c>
      <c r="K51" s="26" t="s">
        <v>25</v>
      </c>
      <c r="L51" s="26" t="s">
        <v>25</v>
      </c>
      <c r="M51" s="26" t="s">
        <v>25</v>
      </c>
      <c r="N51" s="26" t="s">
        <v>25</v>
      </c>
      <c r="O51" s="45"/>
      <c r="P51" s="26"/>
    </row>
    <row r="52" spans="1:19" x14ac:dyDescent="0.25">
      <c r="A52" s="25" t="s">
        <v>26</v>
      </c>
      <c r="B52" s="26" t="s">
        <v>25</v>
      </c>
      <c r="C52" s="26" t="s">
        <v>25</v>
      </c>
      <c r="D52" s="26" t="s">
        <v>25</v>
      </c>
      <c r="E52" s="26" t="s">
        <v>25</v>
      </c>
      <c r="F52" s="26" t="s">
        <v>25</v>
      </c>
      <c r="G52" s="26" t="s">
        <v>25</v>
      </c>
      <c r="H52" s="26" t="s">
        <v>25</v>
      </c>
      <c r="I52" s="11" t="s">
        <v>25</v>
      </c>
      <c r="J52" s="26" t="s">
        <v>25</v>
      </c>
      <c r="K52" s="26" t="s">
        <v>25</v>
      </c>
      <c r="L52" s="26" t="s">
        <v>25</v>
      </c>
      <c r="M52" s="26" t="s">
        <v>25</v>
      </c>
      <c r="N52" s="26" t="s">
        <v>25</v>
      </c>
      <c r="O52" s="45"/>
      <c r="P52" s="26"/>
    </row>
    <row r="53" spans="1:19" x14ac:dyDescent="0.25">
      <c r="A53" s="25" t="s">
        <v>27</v>
      </c>
      <c r="B53" s="26">
        <v>1459.0600000000002</v>
      </c>
      <c r="C53" s="26">
        <v>1671.8300000000002</v>
      </c>
      <c r="D53" s="26">
        <v>1486.74</v>
      </c>
      <c r="E53" s="26">
        <v>479.47999999999996</v>
      </c>
      <c r="F53" s="26">
        <v>569.77</v>
      </c>
      <c r="G53" s="26">
        <v>665.65</v>
      </c>
      <c r="H53" s="26">
        <v>736.52</v>
      </c>
      <c r="I53" s="26">
        <v>777.3</v>
      </c>
      <c r="J53" s="26">
        <v>984.8</v>
      </c>
      <c r="K53" s="26">
        <v>1062.251</v>
      </c>
      <c r="L53" s="26">
        <v>1555.665</v>
      </c>
      <c r="M53" s="26">
        <v>1760.7685200000001</v>
      </c>
      <c r="N53" s="26">
        <v>2064.4631444950001</v>
      </c>
      <c r="O53" s="26">
        <v>2452.6014481840548</v>
      </c>
      <c r="P53" s="26">
        <f>P35</f>
        <v>3010.0002838640003</v>
      </c>
      <c r="Q53" s="26">
        <f>Q35</f>
        <v>3462.1398687189994</v>
      </c>
      <c r="R53" s="26">
        <f>R35</f>
        <v>4125.4818454349997</v>
      </c>
    </row>
    <row r="54" spans="1:19" x14ac:dyDescent="0.25">
      <c r="A54" s="25"/>
      <c r="B54" s="26"/>
      <c r="C54" s="26"/>
      <c r="D54" s="26"/>
      <c r="E54" s="26"/>
      <c r="F54" s="26"/>
      <c r="G54" s="26"/>
      <c r="H54" s="26"/>
      <c r="I54" s="11"/>
      <c r="J54" s="26"/>
      <c r="K54" s="26"/>
      <c r="L54" s="26"/>
      <c r="O54" s="45"/>
      <c r="P54" s="26"/>
    </row>
    <row r="55" spans="1:19" x14ac:dyDescent="0.25">
      <c r="A55" s="33" t="s">
        <v>38</v>
      </c>
      <c r="B55" s="26">
        <f t="shared" ref="B55:P55" si="13">SUM(B56:B71)</f>
        <v>1459.06</v>
      </c>
      <c r="C55" s="26">
        <f t="shared" si="13"/>
        <v>1671.83</v>
      </c>
      <c r="D55" s="26">
        <f t="shared" si="13"/>
        <v>1486.74</v>
      </c>
      <c r="E55" s="26">
        <f t="shared" si="13"/>
        <v>479.48</v>
      </c>
      <c r="F55" s="26">
        <f t="shared" si="13"/>
        <v>569.77</v>
      </c>
      <c r="G55" s="26">
        <f t="shared" si="13"/>
        <v>665.65</v>
      </c>
      <c r="H55" s="26">
        <f t="shared" si="13"/>
        <v>736.52</v>
      </c>
      <c r="I55" s="26">
        <f t="shared" si="13"/>
        <v>777.3</v>
      </c>
      <c r="J55" s="26">
        <f t="shared" si="13"/>
        <v>984.7</v>
      </c>
      <c r="K55" s="26">
        <f t="shared" si="13"/>
        <v>1062.251</v>
      </c>
      <c r="L55" s="26">
        <f t="shared" si="13"/>
        <v>1555.665</v>
      </c>
      <c r="M55" s="26">
        <f t="shared" si="13"/>
        <v>1760.7650398888284</v>
      </c>
      <c r="N55" s="26">
        <f t="shared" si="13"/>
        <v>2064.1486219620447</v>
      </c>
      <c r="O55" s="26">
        <f t="shared" si="13"/>
        <v>2456.5995534198523</v>
      </c>
      <c r="P55" s="26">
        <f t="shared" si="13"/>
        <v>3010.0002838640044</v>
      </c>
      <c r="Q55" s="26">
        <f>SUM(Q56:Q71)</f>
        <v>3462.1398687179467</v>
      </c>
      <c r="R55" s="26">
        <f>SUM(R56:R71)</f>
        <v>4125.481845434997</v>
      </c>
      <c r="S55" s="47"/>
    </row>
    <row r="56" spans="1:19" x14ac:dyDescent="0.25">
      <c r="A56" s="25" t="s">
        <v>39</v>
      </c>
      <c r="B56" s="26">
        <v>1.83</v>
      </c>
      <c r="C56" s="26">
        <v>1.85</v>
      </c>
      <c r="D56" s="26">
        <v>1.84</v>
      </c>
      <c r="E56" s="26">
        <v>1.85</v>
      </c>
      <c r="F56" s="26">
        <v>1.85</v>
      </c>
      <c r="G56" s="26">
        <v>1.85</v>
      </c>
      <c r="H56" s="26">
        <v>1.85</v>
      </c>
      <c r="I56" s="11">
        <v>1.85</v>
      </c>
      <c r="J56" s="26">
        <v>2.99</v>
      </c>
      <c r="K56" s="26">
        <v>2.968</v>
      </c>
      <c r="L56" s="26">
        <v>2.956</v>
      </c>
      <c r="M56" s="26">
        <v>2.9790000000000001</v>
      </c>
      <c r="N56" s="26">
        <v>2.9800615377904411</v>
      </c>
      <c r="O56" s="26">
        <v>2.9202636946972542</v>
      </c>
      <c r="P56" s="26">
        <v>2.8005899802920933</v>
      </c>
      <c r="Q56" s="26">
        <f>[2]Sheet1!E8/1000000</f>
        <v>2.6811970782440988</v>
      </c>
      <c r="R56" s="26">
        <v>2.5624050233306703</v>
      </c>
    </row>
    <row r="57" spans="1:19" x14ac:dyDescent="0.25">
      <c r="A57" s="25" t="s">
        <v>40</v>
      </c>
      <c r="B57" s="26">
        <v>3.75</v>
      </c>
      <c r="C57" s="26">
        <v>1.33</v>
      </c>
      <c r="D57" s="26">
        <v>1.38</v>
      </c>
      <c r="E57" s="26">
        <v>0</v>
      </c>
      <c r="F57" s="26">
        <v>0</v>
      </c>
      <c r="G57" s="26">
        <v>0</v>
      </c>
      <c r="H57" s="26">
        <v>0</v>
      </c>
      <c r="I57" s="11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</row>
    <row r="58" spans="1:19" x14ac:dyDescent="0.25">
      <c r="A58" s="25" t="s">
        <v>41</v>
      </c>
      <c r="B58" s="26">
        <v>6.82</v>
      </c>
      <c r="C58" s="26">
        <v>7.49</v>
      </c>
      <c r="D58" s="26">
        <v>6.43</v>
      </c>
      <c r="E58" s="26">
        <v>0</v>
      </c>
      <c r="F58" s="26">
        <v>0</v>
      </c>
      <c r="G58" s="26">
        <v>0</v>
      </c>
      <c r="H58" s="26">
        <v>0</v>
      </c>
      <c r="I58" s="11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</row>
    <row r="59" spans="1:19" x14ac:dyDescent="0.25">
      <c r="A59" s="25" t="s">
        <v>42</v>
      </c>
      <c r="B59" s="26">
        <v>17.399999999999999</v>
      </c>
      <c r="C59" s="26">
        <v>16.87</v>
      </c>
      <c r="D59" s="26">
        <v>16.010000000000002</v>
      </c>
      <c r="E59" s="26">
        <v>16.559999999999999</v>
      </c>
      <c r="F59" s="26" t="s">
        <v>43</v>
      </c>
      <c r="G59" s="26" t="s">
        <v>43</v>
      </c>
      <c r="H59" s="26">
        <v>6.17</v>
      </c>
      <c r="I59" s="11">
        <v>20.41</v>
      </c>
      <c r="J59" s="26">
        <v>28.6</v>
      </c>
      <c r="K59" s="26">
        <v>31.3</v>
      </c>
      <c r="L59" s="26">
        <v>56.804000000000002</v>
      </c>
      <c r="M59" s="26">
        <v>84.864999999999995</v>
      </c>
      <c r="N59" s="26">
        <v>117.13032776876561</v>
      </c>
      <c r="O59" s="26">
        <v>129.42542185545673</v>
      </c>
      <c r="P59" s="26">
        <v>157.85860208025781</v>
      </c>
      <c r="Q59" s="26">
        <f>[2]Sheet1!$E$9/1000000</f>
        <v>159.75845379231822</v>
      </c>
      <c r="R59" s="26">
        <v>194.68628328258797</v>
      </c>
    </row>
    <row r="60" spans="1:19" x14ac:dyDescent="0.25">
      <c r="A60" s="25" t="s">
        <v>44</v>
      </c>
      <c r="B60" s="26">
        <v>2.1800000000000002</v>
      </c>
      <c r="C60" s="26">
        <v>2.41</v>
      </c>
      <c r="D60" s="26">
        <v>2.08</v>
      </c>
      <c r="E60" s="26">
        <v>0</v>
      </c>
      <c r="F60" s="26">
        <v>0</v>
      </c>
      <c r="G60" s="26">
        <v>0</v>
      </c>
      <c r="H60" s="26">
        <v>0</v>
      </c>
      <c r="I60" s="11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</row>
    <row r="61" spans="1:19" x14ac:dyDescent="0.25">
      <c r="A61" s="25" t="s">
        <v>45</v>
      </c>
      <c r="B61" s="26">
        <v>170.23</v>
      </c>
      <c r="C61" s="26">
        <v>189.68</v>
      </c>
      <c r="D61" s="26">
        <v>150.22</v>
      </c>
      <c r="E61" s="26">
        <v>77.62</v>
      </c>
      <c r="F61" s="26">
        <v>106.05</v>
      </c>
      <c r="G61" s="26">
        <v>124.43</v>
      </c>
      <c r="H61" s="26">
        <v>126.03</v>
      </c>
      <c r="I61" s="11">
        <v>113.68</v>
      </c>
      <c r="J61" s="26">
        <v>118.28</v>
      </c>
      <c r="K61" s="26">
        <v>121.46599999999999</v>
      </c>
      <c r="L61" s="26">
        <v>122.669</v>
      </c>
      <c r="M61" s="26">
        <v>105.65900000000001</v>
      </c>
      <c r="N61" s="26">
        <v>92.169999601282782</v>
      </c>
      <c r="O61" s="26">
        <v>86.59282951814042</v>
      </c>
      <c r="P61" s="26">
        <v>95.720717369273785</v>
      </c>
      <c r="Q61" s="26">
        <f>[2]Sheet1!$E$10/1000000</f>
        <v>161.14134381538523</v>
      </c>
      <c r="R61" s="26">
        <v>278.02161467839164</v>
      </c>
    </row>
    <row r="62" spans="1:19" x14ac:dyDescent="0.25">
      <c r="A62" s="25" t="s">
        <v>46</v>
      </c>
      <c r="B62" s="26">
        <v>0.26</v>
      </c>
      <c r="C62" s="26">
        <v>0.74</v>
      </c>
      <c r="D62" s="26">
        <v>0.65</v>
      </c>
      <c r="E62" s="26">
        <v>0</v>
      </c>
      <c r="F62" s="26">
        <v>0</v>
      </c>
      <c r="G62" s="26">
        <v>0</v>
      </c>
      <c r="H62" s="26">
        <v>0</v>
      </c>
      <c r="I62" s="11">
        <v>0</v>
      </c>
      <c r="J62" s="26">
        <v>0</v>
      </c>
      <c r="K62" s="26">
        <v>4.74</v>
      </c>
      <c r="L62" s="26">
        <v>6.0049999999999999</v>
      </c>
      <c r="M62" s="26">
        <v>5.6429999999999998</v>
      </c>
      <c r="N62" s="26">
        <v>5.3354077834813172</v>
      </c>
      <c r="O62" s="26">
        <v>4.3711834091877959</v>
      </c>
      <c r="P62" s="26">
        <v>4.719103033362356</v>
      </c>
      <c r="Q62" s="26">
        <f>[2]Sheet1!$E$11/1000000</f>
        <v>4.43011960982526</v>
      </c>
      <c r="R62" s="26">
        <v>4.5317260152555034</v>
      </c>
    </row>
    <row r="63" spans="1:19" x14ac:dyDescent="0.25">
      <c r="A63" s="25" t="s">
        <v>47</v>
      </c>
      <c r="B63" s="26">
        <v>42.09</v>
      </c>
      <c r="C63" s="26">
        <v>56.17</v>
      </c>
      <c r="D63" s="26">
        <v>45.68</v>
      </c>
      <c r="E63" s="26">
        <v>16.3</v>
      </c>
      <c r="F63" s="26">
        <v>18.48</v>
      </c>
      <c r="G63" s="26">
        <v>32.700000000000003</v>
      </c>
      <c r="H63" s="26">
        <v>47.12</v>
      </c>
      <c r="I63" s="11">
        <v>58.55</v>
      </c>
      <c r="J63" s="26">
        <v>61.66</v>
      </c>
      <c r="K63" s="26">
        <v>55.633000000000003</v>
      </c>
      <c r="L63" s="26">
        <v>45.124000000000002</v>
      </c>
      <c r="M63" s="26">
        <v>39.018000000000001</v>
      </c>
      <c r="N63" s="26">
        <v>38.656051430208031</v>
      </c>
      <c r="O63" s="26">
        <v>39.549137097717974</v>
      </c>
      <c r="P63" s="26">
        <v>48.727856160485487</v>
      </c>
      <c r="Q63" s="26">
        <f>[2]Sheet1!$E$12/1000000</f>
        <v>60.550833471842772</v>
      </c>
      <c r="R63" s="26">
        <v>115.92014475517666</v>
      </c>
    </row>
    <row r="64" spans="1:19" x14ac:dyDescent="0.25">
      <c r="A64" s="25" t="s">
        <v>48</v>
      </c>
      <c r="B64" s="26">
        <v>31.66</v>
      </c>
      <c r="C64" s="26">
        <v>32.31</v>
      </c>
      <c r="D64" s="26">
        <v>32.47</v>
      </c>
      <c r="E64" s="26">
        <v>32.68</v>
      </c>
      <c r="F64" s="26">
        <v>34.49</v>
      </c>
      <c r="G64" s="26">
        <v>34.22</v>
      </c>
      <c r="H64" s="26">
        <v>34.630000000000003</v>
      </c>
      <c r="I64" s="11">
        <v>36.65</v>
      </c>
      <c r="J64" s="26">
        <v>44.68</v>
      </c>
      <c r="K64" s="26">
        <v>44.637999999999998</v>
      </c>
      <c r="L64" s="26">
        <v>45.951000000000001</v>
      </c>
      <c r="M64" s="26">
        <v>48.750999999999998</v>
      </c>
      <c r="N64" s="26">
        <v>52.720939941597877</v>
      </c>
      <c r="O64" s="26">
        <v>54.449703907610498</v>
      </c>
      <c r="P64" s="26">
        <v>57.199742624329275</v>
      </c>
      <c r="Q64" s="26">
        <f>[2]Sheet1!$E$14/1000000</f>
        <v>60.028628811542106</v>
      </c>
      <c r="R64" s="26">
        <v>63.206251294635194</v>
      </c>
    </row>
    <row r="65" spans="1:19" x14ac:dyDescent="0.25">
      <c r="A65" s="25" t="s">
        <v>49</v>
      </c>
      <c r="B65" s="26">
        <v>0.33</v>
      </c>
      <c r="C65" s="26">
        <v>0.35</v>
      </c>
      <c r="D65" s="26">
        <v>0.33</v>
      </c>
      <c r="E65" s="26">
        <v>0.34</v>
      </c>
      <c r="F65" s="26">
        <v>0.36</v>
      </c>
      <c r="G65" s="26">
        <v>0.35</v>
      </c>
      <c r="H65" s="26">
        <v>0.36</v>
      </c>
      <c r="I65" s="11">
        <v>0.35</v>
      </c>
      <c r="J65" s="26">
        <v>0.35</v>
      </c>
      <c r="K65" s="26">
        <v>0.34899999999999998</v>
      </c>
      <c r="L65" s="26">
        <v>0.34599999999999997</v>
      </c>
      <c r="M65" s="26">
        <v>0.36699999999999999</v>
      </c>
      <c r="N65" s="26">
        <v>0.31664433860966584</v>
      </c>
      <c r="O65" s="26">
        <v>0.3049360596060558</v>
      </c>
      <c r="P65" s="26">
        <v>0.3227604201447431</v>
      </c>
      <c r="Q65" s="26">
        <f>[2]Sheet1!$E$15/1000000</f>
        <v>0.31528188856692357</v>
      </c>
      <c r="R65" s="26">
        <v>0.30872674674807077</v>
      </c>
    </row>
    <row r="66" spans="1:19" x14ac:dyDescent="0.25">
      <c r="A66" s="25" t="s">
        <v>50</v>
      </c>
      <c r="B66" s="26">
        <v>2.2999999999999998</v>
      </c>
      <c r="C66" s="26">
        <v>2.59</v>
      </c>
      <c r="D66" s="26">
        <v>2.2999999999999998</v>
      </c>
      <c r="E66" s="26">
        <v>0</v>
      </c>
      <c r="F66" s="26">
        <v>0</v>
      </c>
      <c r="G66" s="26">
        <v>0</v>
      </c>
      <c r="H66" s="26">
        <v>0</v>
      </c>
      <c r="I66" s="11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</row>
    <row r="67" spans="1:19" x14ac:dyDescent="0.25">
      <c r="A67" s="25" t="s">
        <v>51</v>
      </c>
      <c r="B67" s="26">
        <v>29.79</v>
      </c>
      <c r="C67" s="26">
        <v>29.79</v>
      </c>
      <c r="D67" s="26">
        <v>29.63</v>
      </c>
      <c r="E67" s="26">
        <v>33.74</v>
      </c>
      <c r="F67" s="26">
        <v>42.58</v>
      </c>
      <c r="G67" s="26">
        <v>44.04</v>
      </c>
      <c r="H67" s="26">
        <v>44.54</v>
      </c>
      <c r="I67" s="11">
        <v>44.9</v>
      </c>
      <c r="J67" s="26">
        <v>44.28</v>
      </c>
      <c r="K67" s="26">
        <v>42.686</v>
      </c>
      <c r="L67" s="26">
        <v>41.445</v>
      </c>
      <c r="M67" s="26">
        <v>40.697000000000003</v>
      </c>
      <c r="N67" s="26">
        <v>43.846682885535387</v>
      </c>
      <c r="O67" s="26">
        <v>46.108882365245535</v>
      </c>
      <c r="P67" s="26">
        <v>52.213716936004282</v>
      </c>
      <c r="Q67" s="26">
        <f>[2]Sheet1!$E$16/1000000</f>
        <v>56.461234984329081</v>
      </c>
      <c r="R67" s="26">
        <v>64.551691490401453</v>
      </c>
    </row>
    <row r="68" spans="1:19" x14ac:dyDescent="0.25">
      <c r="A68" s="25" t="s">
        <v>52</v>
      </c>
      <c r="B68" s="26">
        <v>992.54</v>
      </c>
      <c r="C68" s="26">
        <v>1099.5999999999999</v>
      </c>
      <c r="D68" s="26">
        <v>973.72</v>
      </c>
      <c r="E68" s="26">
        <v>246.33</v>
      </c>
      <c r="F68" s="26">
        <v>299.35000000000002</v>
      </c>
      <c r="G68" s="26">
        <v>344.45</v>
      </c>
      <c r="H68" s="26">
        <v>368.26</v>
      </c>
      <c r="I68" s="11">
        <v>376.12</v>
      </c>
      <c r="J68" s="26">
        <v>512.79999999999995</v>
      </c>
      <c r="K68" s="26">
        <v>552.30799999999999</v>
      </c>
      <c r="L68" s="26">
        <v>587.88599999999997</v>
      </c>
      <c r="M68" s="26">
        <v>723.35103988882838</v>
      </c>
      <c r="N68" s="26">
        <v>977.47371848477349</v>
      </c>
      <c r="O68" s="26">
        <v>1260.3349058131903</v>
      </c>
      <c r="P68" s="26">
        <v>1709.0613221008546</v>
      </c>
      <c r="Q68" s="26">
        <f>[2]Sheet1!$E$17/1000000</f>
        <v>1933.7095550549557</v>
      </c>
      <c r="R68" s="26">
        <v>2223.54489471652</v>
      </c>
    </row>
    <row r="69" spans="1:19" x14ac:dyDescent="0.25">
      <c r="A69" s="25" t="s">
        <v>53</v>
      </c>
      <c r="B69" s="26">
        <v>2.75</v>
      </c>
      <c r="C69" s="26">
        <v>3.01</v>
      </c>
      <c r="D69" s="26">
        <v>2.5</v>
      </c>
      <c r="E69" s="26">
        <v>0</v>
      </c>
      <c r="F69" s="26">
        <v>0</v>
      </c>
      <c r="G69" s="26">
        <v>0</v>
      </c>
      <c r="H69" s="26">
        <v>0</v>
      </c>
      <c r="I69" s="11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</row>
    <row r="70" spans="1:19" x14ac:dyDescent="0.25">
      <c r="A70" s="25" t="s">
        <v>54</v>
      </c>
      <c r="B70" s="26">
        <v>155.13</v>
      </c>
      <c r="C70" s="26">
        <v>227.64</v>
      </c>
      <c r="D70" s="26">
        <v>221.5</v>
      </c>
      <c r="E70" s="26">
        <v>54.06</v>
      </c>
      <c r="F70" s="26">
        <v>66.61</v>
      </c>
      <c r="G70" s="26">
        <v>83.61</v>
      </c>
      <c r="H70" s="26">
        <v>107.56</v>
      </c>
      <c r="I70" s="11">
        <v>124.79</v>
      </c>
      <c r="J70" s="26">
        <v>171.06</v>
      </c>
      <c r="K70" s="26">
        <v>206.16300000000001</v>
      </c>
      <c r="L70" s="26">
        <v>646.47900000000004</v>
      </c>
      <c r="M70" s="26">
        <v>709.43499999999995</v>
      </c>
      <c r="N70" s="26">
        <v>733.51878819000001</v>
      </c>
      <c r="O70" s="26">
        <v>832.54228969899998</v>
      </c>
      <c r="P70" s="26">
        <v>881.37587315900009</v>
      </c>
      <c r="Q70" s="26">
        <f>[2]Sheet1!$E$18/1000000</f>
        <v>1013.7723340599999</v>
      </c>
      <c r="R70" s="26">
        <v>1164.4099856712601</v>
      </c>
    </row>
    <row r="71" spans="1:19" x14ac:dyDescent="0.25">
      <c r="A71" s="25" t="s">
        <v>55</v>
      </c>
      <c r="B71" s="26"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f>[2]Sheet1!$E$13/1000000</f>
        <v>9.2908861509374141</v>
      </c>
      <c r="R71" s="26">
        <v>13.738121760690014</v>
      </c>
    </row>
    <row r="72" spans="1:19" x14ac:dyDescent="0.25">
      <c r="A72" s="25"/>
      <c r="B72" s="26"/>
      <c r="C72" s="26"/>
      <c r="D72" s="26"/>
      <c r="E72" s="26"/>
      <c r="F72" s="26"/>
      <c r="G72" s="26"/>
      <c r="H72" s="26"/>
      <c r="I72" s="30"/>
      <c r="J72" s="26"/>
      <c r="K72" s="26"/>
      <c r="L72" s="26"/>
      <c r="O72" s="45"/>
      <c r="P72" s="26"/>
    </row>
    <row r="73" spans="1:19" x14ac:dyDescent="0.25">
      <c r="A73" s="33" t="s">
        <v>56</v>
      </c>
      <c r="B73" s="26">
        <v>1459.06</v>
      </c>
      <c r="C73" s="26">
        <v>1671.83</v>
      </c>
      <c r="D73" s="26">
        <v>1486.74</v>
      </c>
      <c r="E73" s="26">
        <v>479.48</v>
      </c>
      <c r="F73" s="26">
        <v>569.77</v>
      </c>
      <c r="G73" s="26">
        <v>665.65</v>
      </c>
      <c r="H73" s="26">
        <v>736.52</v>
      </c>
      <c r="I73" s="11">
        <v>777.3</v>
      </c>
      <c r="J73" s="26">
        <v>984.8</v>
      </c>
      <c r="K73" s="26">
        <v>1062.251</v>
      </c>
      <c r="L73" s="26">
        <v>1555.665</v>
      </c>
      <c r="M73" s="26">
        <v>1760.7650398888284</v>
      </c>
      <c r="N73" s="26">
        <v>2064.4631444950001</v>
      </c>
      <c r="O73" s="26">
        <v>2452.6014481840548</v>
      </c>
      <c r="P73" s="26">
        <f>SUM(P74:P75)</f>
        <v>3010.0002838640003</v>
      </c>
      <c r="Q73" s="26">
        <f>Q74+Q75</f>
        <v>3462.1398687179467</v>
      </c>
      <c r="R73" s="26">
        <f>R74+R75</f>
        <v>4125.4818454349997</v>
      </c>
    </row>
    <row r="74" spans="1:19" x14ac:dyDescent="0.25">
      <c r="A74" s="25" t="s">
        <v>57</v>
      </c>
      <c r="B74" s="26">
        <v>1459.06</v>
      </c>
      <c r="C74" s="26">
        <v>1671.83</v>
      </c>
      <c r="D74" s="26">
        <v>1486.74</v>
      </c>
      <c r="E74" s="26">
        <v>479.48</v>
      </c>
      <c r="F74" s="26">
        <v>569.77</v>
      </c>
      <c r="G74" s="26">
        <v>665.65</v>
      </c>
      <c r="H74" s="26">
        <v>736.52</v>
      </c>
      <c r="I74" s="11">
        <v>777.3</v>
      </c>
      <c r="J74" s="26">
        <v>984.8</v>
      </c>
      <c r="K74" s="26">
        <v>1062.251</v>
      </c>
      <c r="L74" s="26">
        <v>1555.665</v>
      </c>
      <c r="M74" s="26">
        <v>1760.7650398888284</v>
      </c>
      <c r="N74" s="26">
        <v>2064.4631444950001</v>
      </c>
      <c r="O74" s="26">
        <v>2443.0437462540549</v>
      </c>
      <c r="P74" s="26">
        <v>2986.8325851540003</v>
      </c>
      <c r="Q74" s="26">
        <v>3434.4427497682032</v>
      </c>
      <c r="R74" s="26">
        <v>3892.9751462449999</v>
      </c>
      <c r="S74" s="48"/>
    </row>
    <row r="75" spans="1:19" x14ac:dyDescent="0.25">
      <c r="A75" s="25" t="s">
        <v>58</v>
      </c>
      <c r="B75" s="26" t="s">
        <v>25</v>
      </c>
      <c r="C75" s="26" t="s">
        <v>25</v>
      </c>
      <c r="D75" s="26" t="s">
        <v>25</v>
      </c>
      <c r="E75" s="26" t="s">
        <v>25</v>
      </c>
      <c r="F75" s="26" t="s">
        <v>25</v>
      </c>
      <c r="G75" s="26" t="s">
        <v>25</v>
      </c>
      <c r="H75" s="26" t="s">
        <v>25</v>
      </c>
      <c r="I75" s="11" t="s">
        <v>25</v>
      </c>
      <c r="J75" s="26" t="s">
        <v>25</v>
      </c>
      <c r="K75" s="26" t="s">
        <v>25</v>
      </c>
      <c r="L75" s="26" t="s">
        <v>25</v>
      </c>
      <c r="M75" s="26" t="s">
        <v>25</v>
      </c>
      <c r="N75" s="26" t="s">
        <v>25</v>
      </c>
      <c r="O75" s="26">
        <v>9.5577019300000003</v>
      </c>
      <c r="P75" s="26">
        <v>23.16769871</v>
      </c>
      <c r="Q75" s="26">
        <v>27.697118949743526</v>
      </c>
      <c r="R75" s="26">
        <f>232506699.19/1000000</f>
        <v>232.50669919000001</v>
      </c>
    </row>
    <row r="76" spans="1:19" x14ac:dyDescent="0.25">
      <c r="A76" s="25"/>
      <c r="B76" s="26"/>
      <c r="C76" s="26"/>
      <c r="D76" s="26"/>
      <c r="E76" s="26"/>
      <c r="F76" s="26"/>
      <c r="G76" s="26"/>
      <c r="H76" s="26"/>
      <c r="I76" s="11"/>
      <c r="J76" s="26"/>
      <c r="K76" s="26"/>
      <c r="L76" s="26"/>
      <c r="O76" s="45"/>
      <c r="P76" s="26"/>
    </row>
    <row r="77" spans="1:19" x14ac:dyDescent="0.25">
      <c r="A77" s="33" t="s">
        <v>59</v>
      </c>
      <c r="B77" s="26">
        <v>24.581632346560745</v>
      </c>
      <c r="C77" s="26">
        <v>28.691405045313914</v>
      </c>
      <c r="D77" s="26">
        <v>35.963054583586938</v>
      </c>
      <c r="E77" s="26">
        <v>21.392114413257016</v>
      </c>
      <c r="F77" s="26">
        <v>6.4921915702468551</v>
      </c>
      <c r="G77" s="26">
        <v>7.281829875091435</v>
      </c>
      <c r="H77" s="26">
        <v>7.6934935504238355</v>
      </c>
      <c r="I77" s="11">
        <v>9.8105169590322365</v>
      </c>
      <c r="J77" s="26">
        <v>15.59</v>
      </c>
      <c r="K77" s="26">
        <v>17.33785218004078</v>
      </c>
      <c r="L77" s="26">
        <v>19.256217706971288</v>
      </c>
      <c r="M77" s="26">
        <v>20.77759979684437</v>
      </c>
      <c r="N77" s="26">
        <v>21.324474312352255</v>
      </c>
      <c r="O77" s="26">
        <v>27.255022288474557</v>
      </c>
      <c r="P77" s="26">
        <f>SUM(P78:P80)</f>
        <v>28.770882017490919</v>
      </c>
      <c r="Q77" s="26">
        <f>SUM(Q78:Q80)</f>
        <v>30.58435646050113</v>
      </c>
      <c r="R77" s="26">
        <f>SUM(R78:R80)</f>
        <v>31.093813973198564</v>
      </c>
    </row>
    <row r="78" spans="1:19" x14ac:dyDescent="0.25">
      <c r="A78" s="25" t="s">
        <v>60</v>
      </c>
      <c r="B78" s="26" t="s">
        <v>25</v>
      </c>
      <c r="C78" s="26" t="s">
        <v>25</v>
      </c>
      <c r="D78" s="26" t="s">
        <v>25</v>
      </c>
      <c r="E78" s="26" t="s">
        <v>25</v>
      </c>
      <c r="F78" s="26" t="s">
        <v>25</v>
      </c>
      <c r="G78" s="26" t="s">
        <v>25</v>
      </c>
      <c r="H78" s="26" t="s">
        <v>25</v>
      </c>
      <c r="I78" s="30" t="s">
        <v>25</v>
      </c>
      <c r="J78" s="26" t="s">
        <v>25</v>
      </c>
      <c r="K78" s="26" t="s">
        <v>25</v>
      </c>
      <c r="L78" s="26" t="s">
        <v>25</v>
      </c>
      <c r="M78" s="26" t="s">
        <v>25</v>
      </c>
      <c r="N78" s="26" t="s">
        <v>25</v>
      </c>
      <c r="O78" s="26" t="s">
        <v>25</v>
      </c>
      <c r="P78" s="26" t="s">
        <v>25</v>
      </c>
      <c r="Q78" s="26" t="s">
        <v>25</v>
      </c>
      <c r="R78" s="26" t="s">
        <v>25</v>
      </c>
      <c r="S78" s="13"/>
    </row>
    <row r="79" spans="1:19" x14ac:dyDescent="0.25">
      <c r="A79" s="25" t="s">
        <v>61</v>
      </c>
      <c r="B79" s="26" t="s">
        <v>25</v>
      </c>
      <c r="C79" s="26" t="s">
        <v>25</v>
      </c>
      <c r="D79" s="26" t="s">
        <v>25</v>
      </c>
      <c r="E79" s="26" t="s">
        <v>25</v>
      </c>
      <c r="F79" s="26" t="s">
        <v>25</v>
      </c>
      <c r="G79" s="26" t="s">
        <v>25</v>
      </c>
      <c r="H79" s="26" t="s">
        <v>25</v>
      </c>
      <c r="I79" s="30" t="s">
        <v>25</v>
      </c>
      <c r="J79" s="26" t="s">
        <v>25</v>
      </c>
      <c r="K79" s="26" t="s">
        <v>25</v>
      </c>
      <c r="L79" s="26" t="s">
        <v>25</v>
      </c>
      <c r="M79" s="26" t="s">
        <v>25</v>
      </c>
      <c r="N79" s="26" t="s">
        <v>25</v>
      </c>
      <c r="O79" s="26" t="s">
        <v>25</v>
      </c>
      <c r="P79" s="26" t="s">
        <v>25</v>
      </c>
      <c r="Q79" s="26" t="s">
        <v>25</v>
      </c>
      <c r="R79" s="26" t="s">
        <v>25</v>
      </c>
      <c r="S79" s="13"/>
    </row>
    <row r="80" spans="1:19" x14ac:dyDescent="0.25">
      <c r="A80" s="25" t="s">
        <v>62</v>
      </c>
      <c r="B80" s="26">
        <v>24.581632346560745</v>
      </c>
      <c r="C80" s="26">
        <v>28.691405045313914</v>
      </c>
      <c r="D80" s="26">
        <v>35.963054583586938</v>
      </c>
      <c r="E80" s="26">
        <v>21.392114413257016</v>
      </c>
      <c r="F80" s="26">
        <v>6.4921915702468551</v>
      </c>
      <c r="G80" s="26">
        <v>7.281829875091435</v>
      </c>
      <c r="H80" s="26">
        <v>7.6934935504238355</v>
      </c>
      <c r="I80" s="11">
        <v>9.8105169590322365</v>
      </c>
      <c r="J80" s="26">
        <v>15.59</v>
      </c>
      <c r="K80" s="26">
        <v>17.33785218004078</v>
      </c>
      <c r="L80" s="26">
        <v>19.256217706971288</v>
      </c>
      <c r="M80" s="26">
        <v>20.77759979684437</v>
      </c>
      <c r="N80" s="49">
        <v>21.324474312352255</v>
      </c>
      <c r="O80" s="26">
        <v>27.255022288474557</v>
      </c>
      <c r="P80" s="26">
        <v>28.770882017490919</v>
      </c>
      <c r="Q80" s="26">
        <v>30.58435646050113</v>
      </c>
      <c r="R80" s="26">
        <v>31.093813973198564</v>
      </c>
      <c r="S80" s="48"/>
    </row>
    <row r="81" spans="1:19" x14ac:dyDescent="0.25">
      <c r="A81" s="25"/>
      <c r="B81" s="26"/>
      <c r="C81" s="26"/>
      <c r="D81" s="26"/>
      <c r="E81" s="26"/>
      <c r="F81" s="26"/>
      <c r="G81" s="26"/>
      <c r="H81" s="26"/>
      <c r="I81" s="11"/>
      <c r="J81" s="26"/>
      <c r="K81" s="26"/>
      <c r="L81" s="26"/>
      <c r="O81" s="32"/>
      <c r="P81" s="26"/>
    </row>
    <row r="82" spans="1:19" x14ac:dyDescent="0.25">
      <c r="A82" s="33" t="s">
        <v>63</v>
      </c>
      <c r="B82" s="26">
        <v>13.814227878730978</v>
      </c>
      <c r="C82" s="26">
        <v>13.694758756852149</v>
      </c>
      <c r="D82" s="26">
        <v>11.201343441745877</v>
      </c>
      <c r="E82" s="26">
        <v>11.199849290044634</v>
      </c>
      <c r="F82" s="26">
        <v>6.1461200205207609</v>
      </c>
      <c r="G82" s="26">
        <v>6.9996840235734368</v>
      </c>
      <c r="H82" s="26">
        <v>7.6338294074986148</v>
      </c>
      <c r="I82" s="11">
        <v>7.8297906001537312</v>
      </c>
      <c r="J82" s="26">
        <v>8.09</v>
      </c>
      <c r="K82" s="26">
        <v>9.1881233606167463</v>
      </c>
      <c r="L82" s="26">
        <v>25.234499153563082</v>
      </c>
      <c r="M82" s="26">
        <v>38.952314913680262</v>
      </c>
      <c r="N82" s="26">
        <v>40.119618314601531</v>
      </c>
      <c r="O82" s="26">
        <v>43.484013155342566</v>
      </c>
      <c r="P82" s="26">
        <f>SUM(P83:P85)</f>
        <v>31.222384079055917</v>
      </c>
      <c r="Q82" s="26">
        <f>SUM(Q83:Q85)</f>
        <v>51.562758652049389</v>
      </c>
      <c r="R82" s="26">
        <f>SUM(R83:R85)</f>
        <v>56.353813787999997</v>
      </c>
    </row>
    <row r="83" spans="1:19" x14ac:dyDescent="0.25">
      <c r="A83" s="25" t="s">
        <v>64</v>
      </c>
      <c r="B83" s="26" t="s">
        <v>25</v>
      </c>
      <c r="C83" s="26" t="s">
        <v>25</v>
      </c>
      <c r="D83" s="26" t="s">
        <v>25</v>
      </c>
      <c r="E83" s="26" t="s">
        <v>25</v>
      </c>
      <c r="F83" s="26" t="s">
        <v>25</v>
      </c>
      <c r="G83" s="26" t="s">
        <v>25</v>
      </c>
      <c r="H83" s="26" t="s">
        <v>25</v>
      </c>
      <c r="I83" s="11" t="s">
        <v>25</v>
      </c>
      <c r="J83" s="26" t="s">
        <v>25</v>
      </c>
      <c r="K83" s="26" t="s">
        <v>25</v>
      </c>
      <c r="L83" s="26" t="s">
        <v>25</v>
      </c>
      <c r="M83" s="26" t="s">
        <v>25</v>
      </c>
      <c r="N83" s="26" t="s">
        <v>25</v>
      </c>
      <c r="O83" s="50" t="s">
        <v>25</v>
      </c>
      <c r="P83" s="26" t="s">
        <v>25</v>
      </c>
      <c r="Q83" s="26" t="s">
        <v>25</v>
      </c>
      <c r="R83" s="26" t="s">
        <v>25</v>
      </c>
    </row>
    <row r="84" spans="1:19" x14ac:dyDescent="0.25">
      <c r="A84" s="25" t="s">
        <v>65</v>
      </c>
      <c r="B84" s="26" t="s">
        <v>25</v>
      </c>
      <c r="C84" s="26" t="s">
        <v>25</v>
      </c>
      <c r="D84" s="26" t="s">
        <v>25</v>
      </c>
      <c r="E84" s="26" t="s">
        <v>25</v>
      </c>
      <c r="F84" s="26" t="s">
        <v>25</v>
      </c>
      <c r="G84" s="26" t="s">
        <v>25</v>
      </c>
      <c r="H84" s="26" t="s">
        <v>25</v>
      </c>
      <c r="I84" s="11" t="s">
        <v>25</v>
      </c>
      <c r="J84" s="26" t="s">
        <v>25</v>
      </c>
      <c r="K84" s="26" t="s">
        <v>25</v>
      </c>
      <c r="L84" s="26" t="s">
        <v>25</v>
      </c>
      <c r="M84" s="26" t="s">
        <v>25</v>
      </c>
      <c r="N84" s="26" t="s">
        <v>25</v>
      </c>
      <c r="O84" s="50" t="s">
        <v>25</v>
      </c>
      <c r="P84" s="26" t="s">
        <v>25</v>
      </c>
      <c r="Q84" s="26" t="s">
        <v>25</v>
      </c>
      <c r="R84" s="26" t="s">
        <v>25</v>
      </c>
    </row>
    <row r="85" spans="1:19" x14ac:dyDescent="0.25">
      <c r="A85" s="25" t="s">
        <v>66</v>
      </c>
      <c r="B85" s="26">
        <v>13.814227878730978</v>
      </c>
      <c r="C85" s="26">
        <v>13.694758756852149</v>
      </c>
      <c r="D85" s="26">
        <v>11.201343441745877</v>
      </c>
      <c r="E85" s="26">
        <v>11.199849290044634</v>
      </c>
      <c r="F85" s="26">
        <v>6.1461200205207609</v>
      </c>
      <c r="G85" s="26">
        <v>6.9996840235734368</v>
      </c>
      <c r="H85" s="26">
        <v>7.6338294074986148</v>
      </c>
      <c r="I85" s="11">
        <v>7.8297906001537312</v>
      </c>
      <c r="J85" s="26">
        <v>8.09</v>
      </c>
      <c r="K85" s="26">
        <v>9.1881233606167463</v>
      </c>
      <c r="L85" s="26">
        <v>25.234499153563082</v>
      </c>
      <c r="M85" s="26">
        <v>38.952314913680262</v>
      </c>
      <c r="N85" s="26">
        <v>40.119618314601531</v>
      </c>
      <c r="O85" s="26">
        <v>43.484013155342566</v>
      </c>
      <c r="P85" s="26">
        <v>31.222384079055917</v>
      </c>
      <c r="Q85" s="26">
        <v>51.562758652049389</v>
      </c>
      <c r="R85" s="26">
        <v>56.353813787999997</v>
      </c>
    </row>
    <row r="86" spans="1:19" x14ac:dyDescent="0.25">
      <c r="A86" s="25"/>
      <c r="B86" s="51"/>
      <c r="C86" s="51"/>
      <c r="D86" s="26"/>
      <c r="E86" s="26"/>
      <c r="F86" s="26"/>
      <c r="G86" s="26"/>
      <c r="H86" s="26"/>
      <c r="I86" s="11"/>
      <c r="J86" s="26"/>
      <c r="K86" s="26"/>
      <c r="L86" s="26"/>
      <c r="M86" s="26"/>
      <c r="N86" s="26"/>
      <c r="O86" s="26"/>
      <c r="P86" s="26"/>
      <c r="Q86" s="26"/>
    </row>
    <row r="87" spans="1:19" s="29" customFormat="1" x14ac:dyDescent="0.25">
      <c r="A87" s="46" t="s">
        <v>67</v>
      </c>
      <c r="B87" s="24">
        <f>(B88*B104)/1000</f>
        <v>21.695568495882</v>
      </c>
      <c r="C87" s="24">
        <f t="shared" ref="C87:R87" si="14">(C88*C104)/1000</f>
        <v>21.6174745478902</v>
      </c>
      <c r="D87" s="24">
        <f t="shared" si="14"/>
        <v>17.372449858301273</v>
      </c>
      <c r="E87" s="24">
        <f t="shared" si="14"/>
        <v>17.401714547449501</v>
      </c>
      <c r="F87" s="24">
        <f t="shared" si="14"/>
        <v>16.082130599219052</v>
      </c>
      <c r="G87" s="24">
        <f t="shared" si="14"/>
        <v>19.084260488500902</v>
      </c>
      <c r="H87" s="24">
        <f t="shared" si="14"/>
        <v>49.862296164754795</v>
      </c>
      <c r="I87" s="24">
        <f t="shared" si="14"/>
        <v>127.559889455247</v>
      </c>
      <c r="J87" s="24">
        <f t="shared" si="14"/>
        <v>121.06038416922567</v>
      </c>
      <c r="K87" s="24">
        <f t="shared" si="14"/>
        <v>200.15657076761602</v>
      </c>
      <c r="L87" s="24">
        <f t="shared" si="14"/>
        <v>212.21452457193442</v>
      </c>
      <c r="M87" s="24">
        <f t="shared" si="14"/>
        <v>216.37930748634111</v>
      </c>
      <c r="N87" s="24">
        <f t="shared" si="14"/>
        <v>194.86780573754132</v>
      </c>
      <c r="O87" s="24">
        <f t="shared" si="14"/>
        <v>612.50020294380897</v>
      </c>
      <c r="P87" s="24">
        <f t="shared" si="14"/>
        <v>653.05374944096366</v>
      </c>
      <c r="Q87" s="24">
        <f t="shared" si="14"/>
        <v>700.08679552157253</v>
      </c>
      <c r="R87" s="24">
        <f t="shared" si="14"/>
        <v>772.58520817993156</v>
      </c>
    </row>
    <row r="88" spans="1:19" x14ac:dyDescent="0.25">
      <c r="A88" s="33" t="s">
        <v>68</v>
      </c>
      <c r="B88" s="26">
        <f>SUM(B89:B90)</f>
        <v>37.388103149999999</v>
      </c>
      <c r="C88" s="26">
        <f t="shared" ref="C88:R88" si="15">C92</f>
        <v>38.135473570000002</v>
      </c>
      <c r="D88" s="26">
        <f t="shared" si="15"/>
        <v>31.374143329999999</v>
      </c>
      <c r="E88" s="26">
        <f t="shared" si="15"/>
        <v>31.717332630000001</v>
      </c>
      <c r="F88" s="26">
        <f t="shared" si="15"/>
        <v>29.55077429</v>
      </c>
      <c r="G88" s="26">
        <f t="shared" si="15"/>
        <v>34.146262040000003</v>
      </c>
      <c r="H88" s="26">
        <f t="shared" si="15"/>
        <v>87.28782326999999</v>
      </c>
      <c r="I88" s="26">
        <f t="shared" si="15"/>
        <v>214.58472445999999</v>
      </c>
      <c r="J88" s="26">
        <f t="shared" si="15"/>
        <v>200.38432646580003</v>
      </c>
      <c r="K88" s="26">
        <f t="shared" si="15"/>
        <v>317.00105912827519</v>
      </c>
      <c r="L88" s="26">
        <f t="shared" si="15"/>
        <v>316.70154854463061</v>
      </c>
      <c r="M88" s="26">
        <f t="shared" si="15"/>
        <v>311.61772981915129</v>
      </c>
      <c r="N88" s="26">
        <f t="shared" si="15"/>
        <v>260.72519451946999</v>
      </c>
      <c r="O88" s="26">
        <f t="shared" si="15"/>
        <v>747.14356308161746</v>
      </c>
      <c r="P88" s="26">
        <f t="shared" si="15"/>
        <v>772.8474177316175</v>
      </c>
      <c r="Q88" s="26">
        <f t="shared" si="15"/>
        <v>796.36685189050627</v>
      </c>
      <c r="R88" s="26">
        <f t="shared" si="15"/>
        <v>836.9863551766183</v>
      </c>
    </row>
    <row r="89" spans="1:19" x14ac:dyDescent="0.25">
      <c r="A89" s="25" t="s">
        <v>69</v>
      </c>
      <c r="B89" s="26">
        <v>14.483816769999999</v>
      </c>
      <c r="C89" s="26">
        <v>13.773372800000001</v>
      </c>
      <c r="D89" s="26">
        <v>7.4524886600000002</v>
      </c>
      <c r="E89" s="26">
        <v>10.13092266</v>
      </c>
      <c r="F89" s="26">
        <v>13.327490989999999</v>
      </c>
      <c r="G89" s="26">
        <v>15.531739140000001</v>
      </c>
      <c r="H89" s="26">
        <v>70.67503653</v>
      </c>
      <c r="I89" s="11">
        <v>176.1711746</v>
      </c>
      <c r="J89" s="26">
        <f>J88*40%</f>
        <v>80.153730586320023</v>
      </c>
      <c r="K89" s="26">
        <f t="shared" ref="K89:Q89" si="16">K88*40%</f>
        <v>126.80042365131008</v>
      </c>
      <c r="L89" s="26">
        <f t="shared" si="16"/>
        <v>126.68061941785226</v>
      </c>
      <c r="M89" s="26">
        <f t="shared" si="16"/>
        <v>124.64709192766053</v>
      </c>
      <c r="N89" s="26">
        <f t="shared" si="16"/>
        <v>104.29007780778801</v>
      </c>
      <c r="O89" s="26">
        <f t="shared" si="16"/>
        <v>298.85742523264702</v>
      </c>
      <c r="P89" s="26">
        <f t="shared" si="16"/>
        <v>309.13896709264702</v>
      </c>
      <c r="Q89" s="26">
        <f t="shared" si="16"/>
        <v>318.54674075620255</v>
      </c>
      <c r="R89" s="26">
        <f>R88*40%</f>
        <v>334.79454207064737</v>
      </c>
    </row>
    <row r="90" spans="1:19" x14ac:dyDescent="0.25">
      <c r="A90" s="25" t="s">
        <v>70</v>
      </c>
      <c r="B90" s="26">
        <v>22.904286379999999</v>
      </c>
      <c r="C90" s="26">
        <v>24.362100770000001</v>
      </c>
      <c r="D90" s="26">
        <v>23.921654669999999</v>
      </c>
      <c r="E90" s="26">
        <v>21.586409969999998</v>
      </c>
      <c r="F90" s="26">
        <v>16.223283300000002</v>
      </c>
      <c r="G90" s="26">
        <v>18.614522899999997</v>
      </c>
      <c r="H90" s="26">
        <v>16.612786740000001</v>
      </c>
      <c r="I90" s="11">
        <v>38.413549860000003</v>
      </c>
      <c r="J90" s="26">
        <f>J88*60%</f>
        <v>120.23059587948001</v>
      </c>
      <c r="K90" s="26">
        <f t="shared" ref="K90:Q90" si="17">K88*60%</f>
        <v>190.20063547696512</v>
      </c>
      <c r="L90" s="26">
        <f t="shared" si="17"/>
        <v>190.02092912677836</v>
      </c>
      <c r="M90" s="26">
        <f t="shared" si="17"/>
        <v>186.97063789149078</v>
      </c>
      <c r="N90" s="26">
        <f t="shared" si="17"/>
        <v>156.43511671168199</v>
      </c>
      <c r="O90" s="26">
        <f t="shared" si="17"/>
        <v>448.28613784897044</v>
      </c>
      <c r="P90" s="26">
        <f t="shared" si="17"/>
        <v>463.70845063897048</v>
      </c>
      <c r="Q90" s="26">
        <f t="shared" si="17"/>
        <v>477.82011113430372</v>
      </c>
      <c r="R90" s="26">
        <f>R88*60%</f>
        <v>502.19181310597094</v>
      </c>
    </row>
    <row r="91" spans="1:19" x14ac:dyDescent="0.25">
      <c r="A91" s="25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45"/>
      <c r="P91" s="26"/>
      <c r="S91" s="48"/>
    </row>
    <row r="92" spans="1:19" x14ac:dyDescent="0.25">
      <c r="A92" s="33" t="s">
        <v>37</v>
      </c>
      <c r="B92" s="26">
        <f t="shared" ref="B92:R92" si="18">SUM(B93:B95)</f>
        <v>37.388103149999999</v>
      </c>
      <c r="C92" s="26">
        <f t="shared" si="18"/>
        <v>38.135473570000002</v>
      </c>
      <c r="D92" s="26">
        <f t="shared" si="18"/>
        <v>31.374143329999999</v>
      </c>
      <c r="E92" s="26">
        <f t="shared" si="18"/>
        <v>31.717332630000001</v>
      </c>
      <c r="F92" s="26">
        <f t="shared" si="18"/>
        <v>29.55077429</v>
      </c>
      <c r="G92" s="26">
        <f t="shared" si="18"/>
        <v>34.146262040000003</v>
      </c>
      <c r="H92" s="26">
        <f t="shared" si="18"/>
        <v>87.28782326999999</v>
      </c>
      <c r="I92" s="26">
        <f t="shared" si="18"/>
        <v>214.58472445999999</v>
      </c>
      <c r="J92" s="26">
        <f t="shared" si="18"/>
        <v>200.38432646580003</v>
      </c>
      <c r="K92" s="26">
        <f t="shared" si="18"/>
        <v>317.00105912827519</v>
      </c>
      <c r="L92" s="26">
        <f t="shared" si="18"/>
        <v>316.70154854463061</v>
      </c>
      <c r="M92" s="26">
        <f t="shared" si="18"/>
        <v>311.61772981915129</v>
      </c>
      <c r="N92" s="26">
        <f t="shared" si="18"/>
        <v>260.72519451946999</v>
      </c>
      <c r="O92" s="26">
        <f t="shared" si="18"/>
        <v>747.14356308161746</v>
      </c>
      <c r="P92" s="26">
        <f t="shared" si="18"/>
        <v>772.8474177316175</v>
      </c>
      <c r="Q92" s="26">
        <f t="shared" si="18"/>
        <v>796.36685189050627</v>
      </c>
      <c r="R92" s="26">
        <f t="shared" si="18"/>
        <v>836.9863551766183</v>
      </c>
      <c r="S92" s="51"/>
    </row>
    <row r="93" spans="1:19" x14ac:dyDescent="0.25">
      <c r="A93" s="25" t="s">
        <v>24</v>
      </c>
      <c r="B93" s="26">
        <v>0</v>
      </c>
      <c r="C93" s="26">
        <v>0</v>
      </c>
      <c r="D93" s="26">
        <v>0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6">
        <v>0</v>
      </c>
      <c r="O93" s="26">
        <v>0</v>
      </c>
      <c r="P93" s="26">
        <v>0</v>
      </c>
      <c r="Q93" s="26">
        <v>0</v>
      </c>
      <c r="R93" s="26">
        <v>0</v>
      </c>
    </row>
    <row r="94" spans="1:19" x14ac:dyDescent="0.25">
      <c r="A94" s="25" t="s">
        <v>26</v>
      </c>
      <c r="B94" s="26">
        <v>0</v>
      </c>
      <c r="C94" s="26">
        <v>0</v>
      </c>
      <c r="D94" s="26">
        <v>0</v>
      </c>
      <c r="E94" s="26">
        <v>0</v>
      </c>
      <c r="F94" s="26">
        <v>0</v>
      </c>
      <c r="G94" s="26">
        <v>0</v>
      </c>
      <c r="H94" s="26">
        <v>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  <c r="N94" s="26">
        <v>0</v>
      </c>
      <c r="O94" s="26">
        <v>0</v>
      </c>
      <c r="P94" s="26">
        <v>0</v>
      </c>
      <c r="Q94" s="26">
        <v>0</v>
      </c>
      <c r="R94" s="26">
        <v>0</v>
      </c>
    </row>
    <row r="95" spans="1:19" x14ac:dyDescent="0.25">
      <c r="A95" s="25" t="s">
        <v>27</v>
      </c>
      <c r="B95" s="26">
        <v>37.388103149999999</v>
      </c>
      <c r="C95" s="26">
        <v>38.135473570000002</v>
      </c>
      <c r="D95" s="26">
        <v>31.374143329999999</v>
      </c>
      <c r="E95" s="26">
        <v>31.717332630000001</v>
      </c>
      <c r="F95" s="26">
        <v>29.55077429</v>
      </c>
      <c r="G95" s="26">
        <v>34.146262040000003</v>
      </c>
      <c r="H95" s="26">
        <v>87.28782326999999</v>
      </c>
      <c r="I95" s="26">
        <v>214.58472445999999</v>
      </c>
      <c r="J95" s="26">
        <v>200.38432646580003</v>
      </c>
      <c r="K95" s="26">
        <v>317.00105912827519</v>
      </c>
      <c r="L95" s="26">
        <v>316.70154854463061</v>
      </c>
      <c r="M95" s="26">
        <v>311.61772981915129</v>
      </c>
      <c r="N95" s="26">
        <v>260.72519451946999</v>
      </c>
      <c r="O95" s="26">
        <v>747.14356308161746</v>
      </c>
      <c r="P95" s="26">
        <v>772.8474177316175</v>
      </c>
      <c r="Q95" s="26">
        <v>796.36685189050627</v>
      </c>
      <c r="R95" s="26">
        <v>836.9863551766183</v>
      </c>
    </row>
    <row r="96" spans="1:19" x14ac:dyDescent="0.25">
      <c r="A96" s="25"/>
      <c r="B96" s="26"/>
      <c r="C96" s="26"/>
      <c r="D96" s="26"/>
      <c r="E96" s="26"/>
      <c r="F96" s="26"/>
      <c r="G96" s="26"/>
      <c r="H96" s="26"/>
      <c r="I96" s="11"/>
      <c r="J96" s="26"/>
      <c r="K96" s="26"/>
      <c r="L96" s="26"/>
      <c r="O96" s="45"/>
      <c r="P96" s="26"/>
      <c r="Q96" s="31"/>
    </row>
    <row r="97" spans="1:20" x14ac:dyDescent="0.25">
      <c r="A97" s="33" t="s">
        <v>71</v>
      </c>
      <c r="B97" s="26"/>
      <c r="C97" s="26"/>
      <c r="D97" s="26"/>
      <c r="E97" s="26"/>
      <c r="F97" s="26"/>
      <c r="G97" s="26"/>
      <c r="H97" s="26"/>
      <c r="I97" s="30"/>
      <c r="J97" s="26"/>
      <c r="K97" s="26"/>
      <c r="L97" s="26"/>
      <c r="O97" s="45"/>
      <c r="P97" s="26"/>
      <c r="Q97" s="31"/>
    </row>
    <row r="98" spans="1:20" x14ac:dyDescent="0.25">
      <c r="A98" s="25" t="s">
        <v>72</v>
      </c>
      <c r="B98" s="26">
        <f>B92</f>
        <v>37.388103149999999</v>
      </c>
      <c r="C98" s="26">
        <f t="shared" ref="C98:R98" si="19">C92</f>
        <v>38.135473570000002</v>
      </c>
      <c r="D98" s="26">
        <f t="shared" si="19"/>
        <v>31.374143329999999</v>
      </c>
      <c r="E98" s="26">
        <f t="shared" si="19"/>
        <v>31.717332630000001</v>
      </c>
      <c r="F98" s="26">
        <f t="shared" si="19"/>
        <v>29.55077429</v>
      </c>
      <c r="G98" s="26">
        <f t="shared" si="19"/>
        <v>34.146262040000003</v>
      </c>
      <c r="H98" s="26">
        <f t="shared" si="19"/>
        <v>87.28782326999999</v>
      </c>
      <c r="I98" s="26">
        <f t="shared" si="19"/>
        <v>214.58472445999999</v>
      </c>
      <c r="J98" s="26">
        <f t="shared" si="19"/>
        <v>200.38432646580003</v>
      </c>
      <c r="K98" s="26">
        <f t="shared" si="19"/>
        <v>317.00105912827519</v>
      </c>
      <c r="L98" s="26">
        <f t="shared" si="19"/>
        <v>316.70154854463061</v>
      </c>
      <c r="M98" s="26">
        <f t="shared" si="19"/>
        <v>311.61772981915129</v>
      </c>
      <c r="N98" s="26">
        <f t="shared" si="19"/>
        <v>260.72519451946999</v>
      </c>
      <c r="O98" s="26">
        <f t="shared" si="19"/>
        <v>747.14356308161746</v>
      </c>
      <c r="P98" s="26">
        <f t="shared" si="19"/>
        <v>772.8474177316175</v>
      </c>
      <c r="Q98" s="26">
        <f t="shared" si="19"/>
        <v>796.36685189050627</v>
      </c>
      <c r="R98" s="26">
        <f t="shared" si="19"/>
        <v>836.9863551766183</v>
      </c>
    </row>
    <row r="99" spans="1:20" x14ac:dyDescent="0.25">
      <c r="A99" s="25" t="s">
        <v>73</v>
      </c>
      <c r="B99" s="26" t="s">
        <v>25</v>
      </c>
      <c r="C99" s="26" t="s">
        <v>25</v>
      </c>
      <c r="D99" s="26" t="s">
        <v>25</v>
      </c>
      <c r="E99" s="26" t="s">
        <v>25</v>
      </c>
      <c r="F99" s="26" t="s">
        <v>25</v>
      </c>
      <c r="G99" s="26" t="s">
        <v>25</v>
      </c>
      <c r="H99" s="26" t="s">
        <v>25</v>
      </c>
      <c r="I99" s="11" t="s">
        <v>25</v>
      </c>
      <c r="J99" s="26" t="s">
        <v>25</v>
      </c>
      <c r="K99" s="26" t="s">
        <v>25</v>
      </c>
      <c r="L99" s="26" t="s">
        <v>25</v>
      </c>
      <c r="M99" s="26" t="s">
        <v>25</v>
      </c>
      <c r="N99" s="26" t="s">
        <v>25</v>
      </c>
      <c r="O99" s="26" t="s">
        <v>25</v>
      </c>
      <c r="P99" s="26" t="s">
        <v>25</v>
      </c>
      <c r="Q99" s="26" t="s">
        <v>25</v>
      </c>
      <c r="R99" s="26" t="s">
        <v>25</v>
      </c>
    </row>
    <row r="100" spans="1:20" x14ac:dyDescent="0.25">
      <c r="A100" s="25" t="s">
        <v>74</v>
      </c>
      <c r="B100" s="26" t="s">
        <v>25</v>
      </c>
      <c r="C100" s="26" t="s">
        <v>25</v>
      </c>
      <c r="D100" s="26" t="s">
        <v>25</v>
      </c>
      <c r="E100" s="26" t="s">
        <v>25</v>
      </c>
      <c r="F100" s="26" t="s">
        <v>25</v>
      </c>
      <c r="G100" s="26" t="s">
        <v>25</v>
      </c>
      <c r="H100" s="26" t="s">
        <v>25</v>
      </c>
      <c r="I100" s="26" t="s">
        <v>25</v>
      </c>
      <c r="J100" s="26" t="s">
        <v>25</v>
      </c>
      <c r="K100" s="26" t="s">
        <v>25</v>
      </c>
      <c r="L100" s="26" t="s">
        <v>25</v>
      </c>
      <c r="M100" s="26" t="s">
        <v>25</v>
      </c>
      <c r="N100" s="26" t="s">
        <v>25</v>
      </c>
      <c r="O100" s="26" t="s">
        <v>25</v>
      </c>
      <c r="P100" s="26" t="s">
        <v>25</v>
      </c>
      <c r="Q100" s="26" t="s">
        <v>25</v>
      </c>
      <c r="R100" s="26" t="s">
        <v>25</v>
      </c>
    </row>
    <row r="101" spans="1:20" s="29" customFormat="1" x14ac:dyDescent="0.25">
      <c r="A101" s="40" t="s">
        <v>75</v>
      </c>
      <c r="B101" s="15">
        <v>992.59653513885303</v>
      </c>
      <c r="C101" s="15">
        <v>1206.2311186438217</v>
      </c>
      <c r="D101" s="15">
        <v>1439.8274695924033</v>
      </c>
      <c r="E101" s="15">
        <v>1716</v>
      </c>
      <c r="F101" s="15">
        <v>2065</v>
      </c>
      <c r="G101" s="15">
        <v>2623</v>
      </c>
      <c r="H101" s="15">
        <v>3097</v>
      </c>
      <c r="I101" s="52">
        <v>3411</v>
      </c>
      <c r="J101" s="15">
        <v>3990</v>
      </c>
      <c r="K101" s="15">
        <v>4564</v>
      </c>
      <c r="L101" s="15">
        <v>4929</v>
      </c>
      <c r="M101" s="15">
        <v>5466</v>
      </c>
      <c r="N101" s="15">
        <v>5968</v>
      </c>
      <c r="O101" s="15">
        <v>6672</v>
      </c>
      <c r="P101" s="15">
        <v>7600</v>
      </c>
      <c r="Q101" s="15">
        <v>8189</v>
      </c>
      <c r="R101" s="15">
        <v>9046.466726181221</v>
      </c>
    </row>
    <row r="102" spans="1:20" x14ac:dyDescent="0.25">
      <c r="A102" s="42" t="s">
        <v>76</v>
      </c>
      <c r="B102" s="26">
        <f>B101/B103*1000</f>
        <v>1846.1588998386999</v>
      </c>
      <c r="C102" s="26">
        <f t="shared" ref="C102:Q102" si="20">C101/C103*1000</f>
        <v>2088.8964596641563</v>
      </c>
      <c r="D102" s="26">
        <f t="shared" si="20"/>
        <v>2581.1563825950257</v>
      </c>
      <c r="E102" s="26">
        <f t="shared" si="20"/>
        <v>3108.695652173913</v>
      </c>
      <c r="F102" s="26">
        <f t="shared" si="20"/>
        <v>3775.1371115173674</v>
      </c>
      <c r="G102" s="26">
        <f t="shared" si="20"/>
        <v>4795.2468007312618</v>
      </c>
      <c r="H102" s="26">
        <f t="shared" si="20"/>
        <v>5452.4647887323945</v>
      </c>
      <c r="I102" s="26">
        <f t="shared" si="20"/>
        <v>5850.7718696397942</v>
      </c>
      <c r="J102" s="26">
        <f t="shared" si="20"/>
        <v>6650</v>
      </c>
      <c r="K102" s="26">
        <f t="shared" si="20"/>
        <v>7433.2247557003257</v>
      </c>
      <c r="L102" s="26">
        <f t="shared" si="20"/>
        <v>7618.2380216383308</v>
      </c>
      <c r="M102" s="26">
        <f t="shared" si="20"/>
        <v>8002.9282576866763</v>
      </c>
      <c r="N102" s="26">
        <f t="shared" si="20"/>
        <v>8288.8888888888905</v>
      </c>
      <c r="O102" s="26">
        <f t="shared" si="20"/>
        <v>8477.763659466329</v>
      </c>
      <c r="P102" s="26">
        <f t="shared" si="20"/>
        <v>9134.6153846153848</v>
      </c>
      <c r="Q102" s="26">
        <f t="shared" si="20"/>
        <v>9511.0336817653879</v>
      </c>
      <c r="R102" s="26">
        <v>10039.600070144352</v>
      </c>
    </row>
    <row r="103" spans="1:20" x14ac:dyDescent="0.25">
      <c r="A103" s="3" t="s">
        <v>77</v>
      </c>
      <c r="B103" s="26">
        <v>537.65498475000004</v>
      </c>
      <c r="C103" s="26">
        <v>577.44897458333298</v>
      </c>
      <c r="D103" s="26">
        <v>557.82264077499997</v>
      </c>
      <c r="E103" s="26">
        <v>552</v>
      </c>
      <c r="F103" s="26">
        <v>547</v>
      </c>
      <c r="G103" s="26">
        <v>547</v>
      </c>
      <c r="H103" s="26">
        <v>568</v>
      </c>
      <c r="I103" s="11">
        <v>583</v>
      </c>
      <c r="J103" s="26">
        <v>600</v>
      </c>
      <c r="K103" s="26">
        <v>614</v>
      </c>
      <c r="L103" s="26">
        <v>647</v>
      </c>
      <c r="M103" s="26">
        <v>683</v>
      </c>
      <c r="N103" s="26">
        <v>720</v>
      </c>
      <c r="O103" s="26">
        <v>787</v>
      </c>
      <c r="P103" s="26">
        <v>832</v>
      </c>
      <c r="Q103" s="26">
        <v>861</v>
      </c>
      <c r="R103" s="26">
        <v>901.07839584999999</v>
      </c>
    </row>
    <row r="104" spans="1:20" s="29" customFormat="1" x14ac:dyDescent="0.25">
      <c r="A104" s="53" t="s">
        <v>78</v>
      </c>
      <c r="B104" s="15">
        <v>580.28</v>
      </c>
      <c r="C104" s="15">
        <v>566.86</v>
      </c>
      <c r="D104" s="15">
        <v>553.71870000000001</v>
      </c>
      <c r="E104" s="15">
        <v>548.65</v>
      </c>
      <c r="F104" s="15">
        <v>544.22027800000001</v>
      </c>
      <c r="G104" s="15">
        <v>558.89750000000004</v>
      </c>
      <c r="H104" s="15">
        <v>571.24</v>
      </c>
      <c r="I104" s="52">
        <v>594.45000000000005</v>
      </c>
      <c r="J104" s="15">
        <v>604.140984</v>
      </c>
      <c r="K104" s="15">
        <v>631.40663099999995</v>
      </c>
      <c r="L104" s="15">
        <v>670.07731899999999</v>
      </c>
      <c r="M104" s="15">
        <v>694.37418600000001</v>
      </c>
      <c r="N104" s="15">
        <v>747.40688599999999</v>
      </c>
      <c r="O104" s="15">
        <v>819.78917200000001</v>
      </c>
      <c r="P104" s="15">
        <v>844.99699999999996</v>
      </c>
      <c r="Q104" s="15">
        <v>879.10087399999998</v>
      </c>
      <c r="R104" s="15">
        <v>923.05591770000001</v>
      </c>
    </row>
    <row r="105" spans="1:20" x14ac:dyDescent="0.25">
      <c r="A105" s="53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</row>
    <row r="106" spans="1:20" x14ac:dyDescent="0.25">
      <c r="A106" s="53" t="s">
        <v>79</v>
      </c>
      <c r="B106" s="26"/>
      <c r="C106" s="26"/>
      <c r="D106" s="26"/>
      <c r="E106" s="26"/>
      <c r="F106" s="26"/>
      <c r="G106" s="26"/>
      <c r="H106" s="54"/>
      <c r="I106" s="54"/>
      <c r="J106" s="54"/>
      <c r="K106" s="54"/>
      <c r="L106" s="54"/>
      <c r="M106" s="54"/>
      <c r="N106" s="54"/>
      <c r="O106" s="54"/>
      <c r="P106" s="54"/>
      <c r="Q106" s="54"/>
    </row>
    <row r="107" spans="1:20" s="29" customFormat="1" x14ac:dyDescent="0.25">
      <c r="A107" s="53" t="s">
        <v>80</v>
      </c>
      <c r="B107" s="55">
        <f>(B108*B104)/1000</f>
        <v>0</v>
      </c>
      <c r="C107" s="55">
        <f t="shared" ref="C107:R107" si="21">(C108*C104)/1000</f>
        <v>0</v>
      </c>
      <c r="D107" s="55">
        <f t="shared" si="21"/>
        <v>0</v>
      </c>
      <c r="E107" s="55">
        <f t="shared" si="21"/>
        <v>0</v>
      </c>
      <c r="F107" s="55">
        <f t="shared" si="21"/>
        <v>0</v>
      </c>
      <c r="G107" s="55">
        <f t="shared" si="21"/>
        <v>0</v>
      </c>
      <c r="H107" s="55">
        <f t="shared" si="21"/>
        <v>7.4261200000000001</v>
      </c>
      <c r="I107" s="55">
        <f t="shared" si="21"/>
        <v>13.67235</v>
      </c>
      <c r="J107" s="55">
        <f t="shared" si="21"/>
        <v>77.330045952000006</v>
      </c>
      <c r="K107" s="55">
        <f t="shared" si="21"/>
        <v>65.098023656099997</v>
      </c>
      <c r="L107" s="55">
        <f t="shared" si="21"/>
        <v>38.777285003284575</v>
      </c>
      <c r="M107" s="55">
        <f t="shared" si="21"/>
        <v>64.564631740999999</v>
      </c>
      <c r="N107" s="55">
        <f t="shared" si="21"/>
        <v>69.951790605485286</v>
      </c>
      <c r="O107" s="55">
        <f t="shared" si="21"/>
        <v>475.50612041093132</v>
      </c>
      <c r="P107" s="55">
        <f t="shared" si="21"/>
        <v>529.76652785185695</v>
      </c>
      <c r="Q107" s="15">
        <f t="shared" si="21"/>
        <v>552.35437422823713</v>
      </c>
      <c r="R107" s="15">
        <f t="shared" si="21"/>
        <v>551.31604457161336</v>
      </c>
    </row>
    <row r="108" spans="1:20" x14ac:dyDescent="0.25">
      <c r="A108" s="3" t="s">
        <v>81</v>
      </c>
      <c r="B108" s="56">
        <f t="shared" ref="B108:O108" si="22">+B109+B110</f>
        <v>0</v>
      </c>
      <c r="C108" s="56">
        <f t="shared" si="22"/>
        <v>0</v>
      </c>
      <c r="D108" s="56">
        <f t="shared" si="22"/>
        <v>0</v>
      </c>
      <c r="E108" s="56">
        <f t="shared" si="22"/>
        <v>0</v>
      </c>
      <c r="F108" s="56">
        <f t="shared" si="22"/>
        <v>0</v>
      </c>
      <c r="G108" s="56">
        <f t="shared" si="22"/>
        <v>0</v>
      </c>
      <c r="H108" s="56">
        <f t="shared" si="22"/>
        <v>13</v>
      </c>
      <c r="I108" s="56">
        <f t="shared" si="22"/>
        <v>23</v>
      </c>
      <c r="J108" s="56">
        <f t="shared" si="22"/>
        <v>128</v>
      </c>
      <c r="K108" s="56">
        <f t="shared" si="22"/>
        <v>103.1</v>
      </c>
      <c r="L108" s="56">
        <f t="shared" si="22"/>
        <v>57.869866512053328</v>
      </c>
      <c r="M108" s="56">
        <f t="shared" si="22"/>
        <v>92.98247694507468</v>
      </c>
      <c r="N108" s="56">
        <f t="shared" si="22"/>
        <v>93.592649353093179</v>
      </c>
      <c r="O108" s="56">
        <f t="shared" si="22"/>
        <v>580.03464384734673</v>
      </c>
      <c r="P108" s="56">
        <f>+P109+P110</f>
        <v>626.94486235082127</v>
      </c>
      <c r="Q108" s="26">
        <f>+Q109+Q110</f>
        <v>628.31739856538593</v>
      </c>
      <c r="R108" s="26">
        <f>+R109+R110</f>
        <v>597.27263971758111</v>
      </c>
    </row>
    <row r="109" spans="1:20" x14ac:dyDescent="0.25">
      <c r="A109" s="3" t="s">
        <v>82</v>
      </c>
      <c r="B109" s="57">
        <v>0</v>
      </c>
      <c r="C109" s="57">
        <v>0</v>
      </c>
      <c r="D109" s="57">
        <v>0</v>
      </c>
      <c r="E109" s="57">
        <v>0</v>
      </c>
      <c r="F109" s="57">
        <v>0</v>
      </c>
      <c r="G109" s="57">
        <v>0</v>
      </c>
      <c r="H109" s="57">
        <v>13</v>
      </c>
      <c r="I109" s="26">
        <v>23</v>
      </c>
      <c r="J109" s="26">
        <v>128</v>
      </c>
      <c r="K109" s="56">
        <v>103.1</v>
      </c>
      <c r="L109" s="31">
        <v>46.677128320000001</v>
      </c>
      <c r="M109" s="3">
        <v>68.5</v>
      </c>
      <c r="N109" s="31">
        <v>60.378244689999995</v>
      </c>
      <c r="O109" s="31">
        <v>393.30526623000003</v>
      </c>
      <c r="P109" s="31">
        <f>(229490114.36+130000000+40000000)/1000000</f>
        <v>399.49011436000001</v>
      </c>
      <c r="Q109" s="58">
        <f>(243349711.79+130000000+40000000)/1000000</f>
        <v>413.34971178999996</v>
      </c>
      <c r="R109" s="58">
        <v>439.69069650395818</v>
      </c>
      <c r="S109" s="31"/>
      <c r="T109" s="13"/>
    </row>
    <row r="110" spans="1:20" x14ac:dyDescent="0.25">
      <c r="A110" s="3" t="s">
        <v>83</v>
      </c>
      <c r="B110" s="57">
        <f t="shared" ref="B110:R110" si="23">(B111/B104)*1000</f>
        <v>0</v>
      </c>
      <c r="C110" s="57">
        <f t="shared" si="23"/>
        <v>0</v>
      </c>
      <c r="D110" s="57">
        <f t="shared" si="23"/>
        <v>0</v>
      </c>
      <c r="E110" s="57">
        <f t="shared" si="23"/>
        <v>0</v>
      </c>
      <c r="F110" s="57">
        <f t="shared" si="23"/>
        <v>0</v>
      </c>
      <c r="G110" s="57">
        <f t="shared" si="23"/>
        <v>0</v>
      </c>
      <c r="H110" s="57">
        <f t="shared" si="23"/>
        <v>0</v>
      </c>
      <c r="I110" s="57">
        <f t="shared" si="23"/>
        <v>0</v>
      </c>
      <c r="J110" s="57">
        <f t="shared" si="23"/>
        <v>0</v>
      </c>
      <c r="K110" s="57">
        <f t="shared" si="23"/>
        <v>0</v>
      </c>
      <c r="L110" s="57">
        <f t="shared" si="23"/>
        <v>11.192738192053326</v>
      </c>
      <c r="M110" s="57">
        <f t="shared" si="23"/>
        <v>24.482476945074684</v>
      </c>
      <c r="N110" s="57">
        <f t="shared" si="23"/>
        <v>33.214404663093184</v>
      </c>
      <c r="O110" s="57">
        <f t="shared" si="23"/>
        <v>186.72937761734673</v>
      </c>
      <c r="P110" s="57">
        <f t="shared" si="23"/>
        <v>227.45474799082126</v>
      </c>
      <c r="Q110" s="58">
        <f t="shared" si="23"/>
        <v>214.96768677538591</v>
      </c>
      <c r="R110" s="58">
        <f t="shared" si="23"/>
        <v>157.58194321362294</v>
      </c>
      <c r="S110" s="13"/>
      <c r="T110" s="13"/>
    </row>
    <row r="111" spans="1:20" x14ac:dyDescent="0.25">
      <c r="A111" s="3" t="s">
        <v>84</v>
      </c>
      <c r="B111" s="57">
        <v>0</v>
      </c>
      <c r="C111" s="57">
        <v>0</v>
      </c>
      <c r="D111" s="57">
        <v>0</v>
      </c>
      <c r="E111" s="57">
        <v>0</v>
      </c>
      <c r="F111" s="57">
        <v>0</v>
      </c>
      <c r="G111" s="57">
        <v>0</v>
      </c>
      <c r="H111" s="57">
        <v>0</v>
      </c>
      <c r="I111" s="57">
        <v>0</v>
      </c>
      <c r="J111" s="57">
        <v>0</v>
      </c>
      <c r="K111" s="57">
        <v>0</v>
      </c>
      <c r="L111" s="57">
        <v>7.5</v>
      </c>
      <c r="M111" s="57">
        <v>17</v>
      </c>
      <c r="N111" s="57">
        <v>24.824674759586351</v>
      </c>
      <c r="O111" s="57">
        <f>48.078721865+25+80</f>
        <v>153.07872186500001</v>
      </c>
      <c r="P111" s="57">
        <f>47.698579688+60+80+4.5</f>
        <v>192.198579688</v>
      </c>
      <c r="Q111" s="58">
        <f>44.478281326+80+60+4.5</f>
        <v>188.978281326</v>
      </c>
      <c r="R111" s="58">
        <v>145.456945206</v>
      </c>
      <c r="S111" s="13"/>
      <c r="T111" s="13"/>
    </row>
    <row r="112" spans="1:20" x14ac:dyDescent="0.25">
      <c r="I112" s="59"/>
      <c r="N112" s="60"/>
      <c r="O112" s="60"/>
      <c r="P112" s="60"/>
      <c r="S112" s="13"/>
    </row>
    <row r="113" spans="1:17" ht="16.5" x14ac:dyDescent="0.35">
      <c r="A113" s="61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1:17" ht="16.5" x14ac:dyDescent="0.35">
      <c r="A114" s="61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1:17" x14ac:dyDescent="0.25">
      <c r="H115" s="43"/>
      <c r="I115" s="43"/>
      <c r="J115" s="62"/>
      <c r="K115" s="43"/>
      <c r="L115" s="43"/>
      <c r="M115" s="43"/>
      <c r="N115" s="43"/>
      <c r="O115" s="43"/>
      <c r="P115" s="43"/>
      <c r="Q115" s="43"/>
    </row>
    <row r="116" spans="1:17" x14ac:dyDescent="0.25">
      <c r="H116" s="43"/>
      <c r="I116" s="43"/>
      <c r="J116" s="43"/>
      <c r="K116" s="43"/>
      <c r="L116" s="43"/>
      <c r="M116" s="43"/>
      <c r="N116" s="43"/>
      <c r="O116" s="43"/>
      <c r="P116" s="43"/>
      <c r="Q116" s="43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GAKUNZI</dc:creator>
  <cp:lastModifiedBy>Gerard GAKUNZI</cp:lastModifiedBy>
  <dcterms:created xsi:type="dcterms:W3CDTF">2020-02-13T09:39:56Z</dcterms:created>
  <dcterms:modified xsi:type="dcterms:W3CDTF">2020-02-13T09:46:15Z</dcterms:modified>
</cp:coreProperties>
</file>